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https://defra.sharepoint.com/teams/Team2777/Publication reports/NECR/NECR489/"/>
    </mc:Choice>
  </mc:AlternateContent>
  <xr:revisionPtr revIDLastSave="0" documentId="8_{DE37F08B-98B3-47CC-8A75-C828EF32A45F}" xr6:coauthVersionLast="47" xr6:coauthVersionMax="47" xr10:uidLastSave="{00000000-0000-0000-0000-000000000000}"/>
  <workbookProtection workbookAlgorithmName="SHA-512" workbookHashValue="lyPd0capBENFPzmnmkDGyAMyJ4+k9Srtqw8ukKd9p+yAtr+/UDjfaR4UOWiY5ZdvQzJKjG0uO+zaqyhgN6XECg==" workbookSaltValue="rXsx1w/EQxZiLtOJBaQm7Q==" workbookSpinCount="100000" lockStructure="1"/>
  <bookViews>
    <workbookView xWindow="-4485" yWindow="-16320" windowWidth="29040" windowHeight="15840" xr2:uid="{A90B8B96-99AC-40F0-9EDB-3BA97173CA12}"/>
  </bookViews>
  <sheets>
    <sheet name="Conservation grazing tool" sheetId="3" r:id="rId1"/>
    <sheet name="Habitat carbon storage" sheetId="18" state="hidden" r:id="rId2"/>
    <sheet name="Comparing Tiers 1 and 2" sheetId="21" state="hidden" r:id="rId3"/>
    <sheet name="Enteric methane" sheetId="9" state="hidden" r:id="rId4"/>
    <sheet name="Manure methane" sheetId="16" state="hidden" r:id="rId5"/>
    <sheet name="N calculations" sheetId="11" state="hidden" r:id="rId6"/>
    <sheet name="Habitat carbon storage calcs" sheetId="17" state="hidden" r:id="rId7"/>
    <sheet name="GHG Factors" sheetId="20" state="hidden" r:id="rId8"/>
    <sheet name="Livestock assumptions" sheetId="14" state="hidden" r:id="rId9"/>
    <sheet name="Livestock factors - IPCC" sheetId="19" state="hidden" r:id="rId10"/>
    <sheet name="Habitat assumptions" sheetId="13" state="hidden" r:id="rId11"/>
    <sheet name="Lists" sheetId="15" state="hidden" r:id="rId12"/>
  </sheets>
  <definedNames>
    <definedName name="_xlnm._FilterDatabase" localSheetId="8" hidden="1">'Livestock assumptions'!$B$7:$N$7</definedName>
    <definedName name="_xlnm._FilterDatabase" localSheetId="9" hidden="1">'Livestock factors - IPCC'!$B$8:$P$39</definedName>
    <definedName name="Bison">Lists!$D$10</definedName>
    <definedName name="Cattle">Lists!$D$2:$D$4</definedName>
    <definedName name="Equine">Lists!$D$8:$D$9</definedName>
    <definedName name="Sheep">Lists!$D$5:$D$7</definedName>
    <definedName name="WaterBuffalo">Lists!$D$11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3" l="1"/>
  <c r="E43" i="3" s="1"/>
  <c r="E33" i="3"/>
  <c r="E44" i="3" s="1"/>
  <c r="E31" i="3"/>
  <c r="E42" i="3" s="1"/>
  <c r="B15" i="19" l="1"/>
  <c r="C45" i="21"/>
  <c r="C21" i="21"/>
  <c r="D42" i="3" l="1"/>
  <c r="D42" i="21" l="1"/>
  <c r="D18" i="21"/>
  <c r="B39" i="19"/>
  <c r="B38" i="19"/>
  <c r="B37" i="19"/>
  <c r="B36" i="19"/>
  <c r="B35" i="19"/>
  <c r="B34" i="19"/>
  <c r="B33" i="19"/>
  <c r="B32" i="19"/>
  <c r="B31" i="19"/>
  <c r="B30" i="19"/>
  <c r="B29" i="19"/>
  <c r="B28" i="19"/>
  <c r="B27" i="19"/>
  <c r="B26" i="19"/>
  <c r="B25" i="19"/>
  <c r="B24" i="19"/>
  <c r="B23" i="19"/>
  <c r="B22" i="19"/>
  <c r="B21" i="19"/>
  <c r="B20" i="19"/>
  <c r="B19" i="19"/>
  <c r="B18" i="19"/>
  <c r="B17" i="19"/>
  <c r="B16" i="19"/>
  <c r="B14" i="19"/>
  <c r="B13" i="19"/>
  <c r="B12" i="19"/>
  <c r="B11" i="19"/>
  <c r="B10" i="19"/>
  <c r="B9" i="19"/>
  <c r="B9" i="14" l="1"/>
  <c r="B10" i="14"/>
  <c r="B11" i="14"/>
  <c r="B12" i="14"/>
  <c r="B13" i="14"/>
  <c r="B14" i="14"/>
  <c r="B15" i="14"/>
  <c r="B16" i="14"/>
  <c r="B17" i="14"/>
  <c r="B8" i="14"/>
  <c r="M14" i="14" l="1"/>
  <c r="M9" i="14"/>
  <c r="M10" i="14"/>
  <c r="M11" i="14"/>
  <c r="M12" i="14"/>
  <c r="M13" i="14"/>
  <c r="M15" i="14"/>
  <c r="M16" i="14"/>
  <c r="M17" i="14"/>
  <c r="M8" i="14"/>
  <c r="K15" i="14"/>
  <c r="K14" i="14"/>
  <c r="E44" i="21" l="1"/>
  <c r="E20" i="21"/>
  <c r="E43" i="21"/>
  <c r="E19" i="21"/>
  <c r="E18" i="21"/>
  <c r="E42" i="21"/>
  <c r="F9" i="14"/>
  <c r="N9" i="14" s="1"/>
  <c r="F10" i="14"/>
  <c r="N10" i="14" s="1"/>
  <c r="F11" i="14"/>
  <c r="N11" i="14" s="1"/>
  <c r="F12" i="14"/>
  <c r="N12" i="14" s="1"/>
  <c r="F13" i="14"/>
  <c r="N13" i="14" s="1"/>
  <c r="F14" i="14"/>
  <c r="N14" i="14" s="1"/>
  <c r="F15" i="14"/>
  <c r="N15" i="14" s="1"/>
  <c r="F16" i="14"/>
  <c r="N16" i="14" s="1"/>
  <c r="F17" i="14"/>
  <c r="N17" i="14" s="1"/>
  <c r="F8" i="14"/>
  <c r="N8" i="14" s="1"/>
  <c r="D23" i="3" l="1"/>
  <c r="D54" i="18" l="1"/>
  <c r="D53" i="18"/>
  <c r="C53" i="18"/>
  <c r="AR10" i="11"/>
  <c r="AR11" i="11"/>
  <c r="AR9" i="11"/>
  <c r="K10" i="11"/>
  <c r="K11" i="11"/>
  <c r="K9" i="11"/>
  <c r="BC10" i="16"/>
  <c r="BC11" i="16"/>
  <c r="BC9" i="16"/>
  <c r="BB10" i="16"/>
  <c r="BB11" i="16"/>
  <c r="BB9" i="16"/>
  <c r="AY10" i="16"/>
  <c r="AY11" i="16"/>
  <c r="AY9" i="16"/>
  <c r="AX10" i="16"/>
  <c r="AX11" i="16"/>
  <c r="AX9" i="16"/>
  <c r="AR10" i="16"/>
  <c r="AR11" i="16"/>
  <c r="AR9" i="16"/>
  <c r="AQ10" i="16"/>
  <c r="AQ11" i="16"/>
  <c r="AQ9" i="16"/>
  <c r="W10" i="16"/>
  <c r="W11" i="16"/>
  <c r="W9" i="16"/>
  <c r="V10" i="16"/>
  <c r="V11" i="16"/>
  <c r="V9" i="16"/>
  <c r="S10" i="16"/>
  <c r="S11" i="16"/>
  <c r="S9" i="16"/>
  <c r="R10" i="16"/>
  <c r="R11" i="16"/>
  <c r="R9" i="16"/>
  <c r="L10" i="16"/>
  <c r="L11" i="16"/>
  <c r="L9" i="16"/>
  <c r="K10" i="16"/>
  <c r="K11" i="16"/>
  <c r="K9" i="16"/>
  <c r="D24" i="20"/>
  <c r="C72" i="3"/>
  <c r="C71" i="3"/>
  <c r="L49" i="18"/>
  <c r="D43" i="3"/>
  <c r="D44" i="3"/>
  <c r="C44" i="3"/>
  <c r="C42" i="3"/>
  <c r="C43" i="3"/>
  <c r="H49" i="18" l="1"/>
  <c r="D44" i="21"/>
  <c r="D20" i="21"/>
  <c r="H48" i="18"/>
  <c r="C44" i="21"/>
  <c r="C20" i="21"/>
  <c r="G49" i="18"/>
  <c r="D43" i="21"/>
  <c r="D19" i="21"/>
  <c r="M48" i="18"/>
  <c r="C19" i="21"/>
  <c r="C43" i="21"/>
  <c r="F48" i="18"/>
  <c r="C18" i="21"/>
  <c r="C42" i="21"/>
  <c r="N49" i="18"/>
  <c r="F49" i="18"/>
  <c r="L48" i="18"/>
  <c r="M49" i="18"/>
  <c r="N48" i="18"/>
  <c r="G48" i="18"/>
  <c r="C20" i="18"/>
  <c r="C21" i="18"/>
  <c r="C22" i="18"/>
  <c r="C58" i="18" s="1"/>
  <c r="C19" i="18"/>
  <c r="P47" i="21" l="1"/>
  <c r="P46" i="21"/>
  <c r="P23" i="21"/>
  <c r="P22" i="21"/>
  <c r="P21" i="21"/>
  <c r="P20" i="21"/>
  <c r="P44" i="21"/>
  <c r="P45" i="21"/>
  <c r="P19" i="21"/>
  <c r="P18" i="21"/>
  <c r="P42" i="21"/>
  <c r="P43" i="21"/>
  <c r="R23" i="18"/>
  <c r="C55" i="18"/>
  <c r="C57" i="18"/>
  <c r="C56" i="18"/>
  <c r="C91" i="18"/>
  <c r="C89" i="18"/>
  <c r="C90" i="18"/>
  <c r="C88" i="18"/>
  <c r="A9" i="17"/>
  <c r="A10" i="17"/>
  <c r="A8" i="17"/>
  <c r="B8" i="17" l="1"/>
  <c r="H8" i="17"/>
  <c r="L19" i="18" s="1"/>
  <c r="I8" i="17"/>
  <c r="I19" i="18" s="1"/>
  <c r="E10" i="17"/>
  <c r="I10" i="17"/>
  <c r="K21" i="18" s="1"/>
  <c r="H10" i="17"/>
  <c r="J21" i="18" s="1"/>
  <c r="B9" i="17"/>
  <c r="I9" i="17"/>
  <c r="K20" i="18" s="1"/>
  <c r="H9" i="17"/>
  <c r="L20" i="18" s="1"/>
  <c r="F90" i="18"/>
  <c r="F88" i="18"/>
  <c r="D19" i="18"/>
  <c r="D55" i="18" s="1"/>
  <c r="B10" i="17"/>
  <c r="D21" i="18"/>
  <c r="D57" i="18" s="1"/>
  <c r="C10" i="17"/>
  <c r="E9" i="17"/>
  <c r="C9" i="17"/>
  <c r="D20" i="18"/>
  <c r="D56" i="18" s="1"/>
  <c r="F89" i="18"/>
  <c r="C8" i="17"/>
  <c r="E8" i="17"/>
  <c r="D88" i="18"/>
  <c r="D90" i="18"/>
  <c r="D89" i="18"/>
  <c r="I21" i="18" l="1"/>
  <c r="L21" i="18"/>
  <c r="I20" i="18"/>
  <c r="J20" i="18"/>
  <c r="K19" i="18"/>
  <c r="J19" i="18"/>
  <c r="F8" i="17"/>
  <c r="H88" i="18" s="1"/>
  <c r="K8" i="17"/>
  <c r="D8" i="17"/>
  <c r="E88" i="18" s="1"/>
  <c r="J8" i="17"/>
  <c r="F10" i="17"/>
  <c r="H90" i="18" s="1"/>
  <c r="K10" i="17"/>
  <c r="J10" i="17"/>
  <c r="D9" i="17"/>
  <c r="E89" i="18" s="1"/>
  <c r="J9" i="17"/>
  <c r="F9" i="17"/>
  <c r="H89" i="18" s="1"/>
  <c r="K9" i="17"/>
  <c r="B11" i="17"/>
  <c r="D10" i="17"/>
  <c r="E90" i="18" s="1"/>
  <c r="D11" i="11"/>
  <c r="D10" i="11"/>
  <c r="D9" i="11"/>
  <c r="AK11" i="11"/>
  <c r="AK10" i="11"/>
  <c r="AK9" i="11"/>
  <c r="D11" i="16"/>
  <c r="D10" i="16"/>
  <c r="D9" i="16"/>
  <c r="AJ11" i="16"/>
  <c r="AJ10" i="16"/>
  <c r="AJ9" i="16"/>
  <c r="AI11" i="9"/>
  <c r="AI10" i="9"/>
  <c r="AI9" i="9"/>
  <c r="D10" i="9"/>
  <c r="D11" i="9"/>
  <c r="D9" i="9"/>
  <c r="AL11" i="11"/>
  <c r="AL10" i="11"/>
  <c r="AL9" i="11"/>
  <c r="E11" i="11"/>
  <c r="E10" i="11"/>
  <c r="E9" i="11"/>
  <c r="AK11" i="16"/>
  <c r="AK10" i="16"/>
  <c r="AK9" i="16"/>
  <c r="E11" i="16"/>
  <c r="E10" i="16"/>
  <c r="E9" i="16"/>
  <c r="AJ11" i="9"/>
  <c r="AJ10" i="9"/>
  <c r="AJ9" i="9"/>
  <c r="E10" i="9"/>
  <c r="E11" i="9"/>
  <c r="E9" i="9"/>
  <c r="D70" i="3"/>
  <c r="D71" i="3"/>
  <c r="D72" i="3"/>
  <c r="F72" i="3" s="1"/>
  <c r="C73" i="3"/>
  <c r="C70" i="3"/>
  <c r="D22" i="18"/>
  <c r="D58" i="18" s="1"/>
  <c r="H19" i="18" l="1"/>
  <c r="F19" i="18"/>
  <c r="G19" i="18"/>
  <c r="E19" i="18"/>
  <c r="E21" i="18"/>
  <c r="G21" i="18"/>
  <c r="F21" i="18"/>
  <c r="H21" i="18"/>
  <c r="E20" i="18"/>
  <c r="G20" i="18"/>
  <c r="H20" i="18"/>
  <c r="F20" i="18"/>
  <c r="G8" i="17"/>
  <c r="I88" i="18" s="1"/>
  <c r="F11" i="17"/>
  <c r="H91" i="18" s="1"/>
  <c r="G9" i="17"/>
  <c r="I89" i="18" s="1"/>
  <c r="I22" i="18"/>
  <c r="K11" i="17"/>
  <c r="J11" i="17"/>
  <c r="G71" i="3"/>
  <c r="G10" i="17"/>
  <c r="I90" i="18" s="1"/>
  <c r="D11" i="17"/>
  <c r="E91" i="18" s="1"/>
  <c r="D73" i="3"/>
  <c r="D91" i="18"/>
  <c r="H72" i="3"/>
  <c r="H70" i="3"/>
  <c r="F70" i="3"/>
  <c r="F71" i="3"/>
  <c r="G70" i="3"/>
  <c r="H71" i="3"/>
  <c r="G72" i="3"/>
  <c r="AM10" i="16"/>
  <c r="AM11" i="16"/>
  <c r="AM9" i="16"/>
  <c r="AL10" i="16"/>
  <c r="AL11" i="16"/>
  <c r="AL9" i="16"/>
  <c r="AH10" i="16"/>
  <c r="AI10" i="16"/>
  <c r="AH11" i="16"/>
  <c r="AI11" i="16"/>
  <c r="AI9" i="16"/>
  <c r="AH9" i="16"/>
  <c r="F10" i="16"/>
  <c r="F11" i="16"/>
  <c r="F9" i="16"/>
  <c r="U23" i="18" l="1"/>
  <c r="H22" i="18"/>
  <c r="U18" i="18" s="1"/>
  <c r="E22" i="18"/>
  <c r="J22" i="18"/>
  <c r="F22" i="18"/>
  <c r="G22" i="18"/>
  <c r="U17" i="18" s="1"/>
  <c r="K22" i="18"/>
  <c r="L22" i="18"/>
  <c r="V24" i="18" s="1"/>
  <c r="G11" i="17"/>
  <c r="I91" i="18" s="1"/>
  <c r="H73" i="3"/>
  <c r="F73" i="3"/>
  <c r="G73" i="3"/>
  <c r="AG11" i="16"/>
  <c r="AN11" i="16" s="1"/>
  <c r="AG10" i="16"/>
  <c r="AN10" i="16" s="1"/>
  <c r="AG9" i="16"/>
  <c r="AN9" i="16" s="1"/>
  <c r="U24" i="18" l="1"/>
  <c r="T17" i="18"/>
  <c r="V23" i="18"/>
  <c r="T18" i="18"/>
  <c r="BA10" i="16"/>
  <c r="AO10" i="16"/>
  <c r="AT10" i="16"/>
  <c r="BA9" i="16"/>
  <c r="AT9" i="16"/>
  <c r="AO9" i="16"/>
  <c r="AO11" i="16"/>
  <c r="AT11" i="16"/>
  <c r="BA11" i="16"/>
  <c r="G10" i="16"/>
  <c r="G11" i="16"/>
  <c r="G9" i="16"/>
  <c r="C10" i="16"/>
  <c r="C11" i="16"/>
  <c r="C9" i="16"/>
  <c r="B10" i="16"/>
  <c r="B11" i="16"/>
  <c r="B9" i="16"/>
  <c r="A10" i="16" l="1"/>
  <c r="H10" i="16" s="1"/>
  <c r="A11" i="16"/>
  <c r="H11" i="16" s="1"/>
  <c r="A9" i="16"/>
  <c r="H9" i="16" s="1"/>
  <c r="N10" i="16" l="1"/>
  <c r="I10" i="16"/>
  <c r="U10" i="16"/>
  <c r="N9" i="16"/>
  <c r="U9" i="16"/>
  <c r="I9" i="16"/>
  <c r="U11" i="16"/>
  <c r="I11" i="16"/>
  <c r="N11" i="16"/>
  <c r="C8" i="13"/>
  <c r="C9" i="13"/>
  <c r="C10" i="13"/>
  <c r="C11" i="13"/>
  <c r="C12" i="13"/>
  <c r="C13" i="13"/>
  <c r="C14" i="13"/>
  <c r="C7" i="13"/>
  <c r="L43" i="3" l="1"/>
  <c r="L44" i="3"/>
  <c r="L42" i="3"/>
  <c r="AM10" i="11" l="1"/>
  <c r="AM11" i="11"/>
  <c r="AM9" i="11"/>
  <c r="AN10" i="11"/>
  <c r="AN11" i="11"/>
  <c r="AN9" i="11"/>
  <c r="AJ10" i="11"/>
  <c r="AJ11" i="11"/>
  <c r="AJ9" i="11"/>
  <c r="AI10" i="11"/>
  <c r="AS10" i="11" s="1"/>
  <c r="AI11" i="11"/>
  <c r="AS11" i="11" s="1"/>
  <c r="AI9" i="11"/>
  <c r="AS9" i="11" s="1"/>
  <c r="G10" i="11"/>
  <c r="G11" i="11"/>
  <c r="G9" i="11"/>
  <c r="F10" i="11"/>
  <c r="F11" i="11"/>
  <c r="F9" i="11"/>
  <c r="B10" i="11"/>
  <c r="L10" i="11" s="1"/>
  <c r="C10" i="11"/>
  <c r="B11" i="11"/>
  <c r="L11" i="11" s="1"/>
  <c r="C11" i="11"/>
  <c r="C9" i="11"/>
  <c r="B9" i="11"/>
  <c r="L9" i="11" s="1"/>
  <c r="AK10" i="9"/>
  <c r="AK11" i="9"/>
  <c r="AK9" i="9"/>
  <c r="AL10" i="9"/>
  <c r="AL11" i="9"/>
  <c r="AL9" i="9"/>
  <c r="AH10" i="9"/>
  <c r="AH11" i="9"/>
  <c r="AH9" i="9"/>
  <c r="AG10" i="9"/>
  <c r="AG11" i="9"/>
  <c r="AG9" i="9"/>
  <c r="G10" i="9"/>
  <c r="G11" i="9"/>
  <c r="G9" i="9"/>
  <c r="F10" i="9"/>
  <c r="F11" i="9"/>
  <c r="F9" i="9"/>
  <c r="B11" i="9"/>
  <c r="U11" i="9" s="1"/>
  <c r="C10" i="9"/>
  <c r="C11" i="9"/>
  <c r="C9" i="9"/>
  <c r="BJ11" i="9" l="1"/>
  <c r="BJ10" i="9"/>
  <c r="BK10" i="9" s="1"/>
  <c r="BN10" i="9" s="1"/>
  <c r="BJ9" i="9"/>
  <c r="BK9" i="9" s="1"/>
  <c r="BN9" i="9" s="1"/>
  <c r="BK11" i="9"/>
  <c r="BN11" i="9" s="1"/>
  <c r="K33" i="3"/>
  <c r="I33" i="3" s="1"/>
  <c r="B10" i="9"/>
  <c r="U10" i="9" s="1"/>
  <c r="B9" i="9"/>
  <c r="U9" i="9" s="1"/>
  <c r="K32" i="3"/>
  <c r="I32" i="3" s="1"/>
  <c r="K31" i="3"/>
  <c r="I31" i="3" s="1"/>
  <c r="V11" i="9" l="1"/>
  <c r="Y11" i="9" s="1"/>
  <c r="J33" i="3" l="1" a="1"/>
  <c r="J33" i="3" s="1"/>
  <c r="J32" i="3" a="1"/>
  <c r="J32" i="3" s="1"/>
  <c r="V10" i="9"/>
  <c r="Y10" i="9" s="1"/>
  <c r="J9" i="16"/>
  <c r="M9" i="16" s="1"/>
  <c r="V9" i="9"/>
  <c r="Y9" i="9" s="1"/>
  <c r="AH10" i="11"/>
  <c r="AH11" i="11"/>
  <c r="AO10" i="11" l="1"/>
  <c r="BC10" i="11"/>
  <c r="AO11" i="11"/>
  <c r="BC11" i="11"/>
  <c r="I34" i="3"/>
  <c r="J34" i="3" s="1" a="1"/>
  <c r="J34" i="3" s="1"/>
  <c r="AP10" i="11"/>
  <c r="AP11" i="11"/>
  <c r="I70" i="3"/>
  <c r="J31" i="3" a="1"/>
  <c r="J31" i="3" s="1"/>
  <c r="AP9" i="16"/>
  <c r="AS9" i="16" s="1"/>
  <c r="F18" i="21" s="1"/>
  <c r="AU9" i="16"/>
  <c r="AU11" i="16"/>
  <c r="AP11" i="16"/>
  <c r="AS11" i="16" s="1"/>
  <c r="AP10" i="16"/>
  <c r="AS10" i="16" s="1"/>
  <c r="AU10" i="16"/>
  <c r="AF11" i="9"/>
  <c r="AF9" i="9"/>
  <c r="AP10" i="9"/>
  <c r="R11" i="11"/>
  <c r="AY11" i="11"/>
  <c r="AY10" i="11"/>
  <c r="AY9" i="11"/>
  <c r="R9" i="11"/>
  <c r="AP11" i="9"/>
  <c r="R10" i="11"/>
  <c r="AH9" i="11"/>
  <c r="AF10" i="9"/>
  <c r="O9" i="9"/>
  <c r="P9" i="9" s="1"/>
  <c r="A11" i="9"/>
  <c r="A10" i="9"/>
  <c r="A9" i="9"/>
  <c r="S9" i="9" s="1"/>
  <c r="AO9" i="11" l="1"/>
  <c r="BC9" i="11"/>
  <c r="R18" i="21"/>
  <c r="F42" i="21"/>
  <c r="R42" i="21" s="1"/>
  <c r="AX11" i="9"/>
  <c r="AW11" i="9"/>
  <c r="AV11" i="9"/>
  <c r="AM11" i="9"/>
  <c r="BH11" i="9"/>
  <c r="BI11" i="9" s="1"/>
  <c r="H11" i="9"/>
  <c r="S11" i="9"/>
  <c r="T11" i="9" s="1"/>
  <c r="AV9" i="9"/>
  <c r="AX9" i="9"/>
  <c r="BH9" i="9"/>
  <c r="BI9" i="9" s="1"/>
  <c r="AW9" i="9"/>
  <c r="AM9" i="9"/>
  <c r="H9" i="9"/>
  <c r="T9" i="9"/>
  <c r="W10" i="9"/>
  <c r="S10" i="9"/>
  <c r="T10" i="9" s="1"/>
  <c r="H10" i="9"/>
  <c r="BH10" i="9"/>
  <c r="BI10" i="9" s="1"/>
  <c r="AX10" i="9"/>
  <c r="AV10" i="9"/>
  <c r="AM10" i="9"/>
  <c r="AW10" i="9"/>
  <c r="W11" i="9"/>
  <c r="J70" i="3" a="1"/>
  <c r="J70" i="3" s="1"/>
  <c r="P50" i="18" a="1"/>
  <c r="P50" i="18" s="1"/>
  <c r="J50" i="18" a="1"/>
  <c r="J50" i="18" s="1"/>
  <c r="AQ10" i="11"/>
  <c r="BB11" i="9"/>
  <c r="BA11" i="9"/>
  <c r="BA10" i="9"/>
  <c r="BB10" i="9"/>
  <c r="BA9" i="9"/>
  <c r="BB9" i="9"/>
  <c r="I10" i="9"/>
  <c r="AN10" i="9"/>
  <c r="BL10" i="9"/>
  <c r="AT10" i="9"/>
  <c r="AP9" i="11"/>
  <c r="AQ9" i="11" s="1"/>
  <c r="BL9" i="9"/>
  <c r="AN9" i="9"/>
  <c r="AT9" i="9"/>
  <c r="W9" i="9"/>
  <c r="I9" i="9"/>
  <c r="I11" i="9"/>
  <c r="BL11" i="9"/>
  <c r="AN11" i="9"/>
  <c r="AT11" i="9"/>
  <c r="AQ11" i="11"/>
  <c r="BD9" i="9"/>
  <c r="BF9" i="9" s="1"/>
  <c r="AP9" i="9"/>
  <c r="AQ9" i="9" s="1"/>
  <c r="AR9" i="9" s="1"/>
  <c r="K10" i="9"/>
  <c r="L10" i="9" s="1"/>
  <c r="M10" i="9" s="1"/>
  <c r="O10" i="9"/>
  <c r="P10" i="9" s="1"/>
  <c r="AQ11" i="9"/>
  <c r="AR11" i="9" s="1"/>
  <c r="AQ10" i="9"/>
  <c r="AR10" i="9" s="1"/>
  <c r="BD10" i="9"/>
  <c r="BD11" i="9"/>
  <c r="K11" i="9"/>
  <c r="L11" i="9" s="1"/>
  <c r="M11" i="9" s="1"/>
  <c r="O11" i="9"/>
  <c r="K9" i="9"/>
  <c r="L9" i="9" s="1"/>
  <c r="M9" i="9" s="1"/>
  <c r="AT11" i="11" l="1"/>
  <c r="AV11" i="11"/>
  <c r="AU11" i="11"/>
  <c r="AT10" i="11"/>
  <c r="AU10" i="11"/>
  <c r="AV10" i="11"/>
  <c r="AV9" i="11"/>
  <c r="AU9" i="11"/>
  <c r="AT9" i="11"/>
  <c r="BE11" i="9"/>
  <c r="AW11" i="16"/>
  <c r="BF10" i="9"/>
  <c r="AW10" i="16"/>
  <c r="J10" i="9"/>
  <c r="J9" i="9"/>
  <c r="BE9" i="9"/>
  <c r="AW9" i="16"/>
  <c r="O10" i="16"/>
  <c r="J10" i="16"/>
  <c r="M10" i="16" s="1"/>
  <c r="F19" i="21" s="1"/>
  <c r="O11" i="16"/>
  <c r="J11" i="16"/>
  <c r="M11" i="16" s="1"/>
  <c r="F20" i="21" s="1"/>
  <c r="O9" i="16"/>
  <c r="Q9" i="16"/>
  <c r="Q9" i="9"/>
  <c r="J11" i="9"/>
  <c r="Q11" i="16"/>
  <c r="Q11" i="9"/>
  <c r="Q10" i="16"/>
  <c r="Q10" i="9"/>
  <c r="AO10" i="9"/>
  <c r="AO9" i="9"/>
  <c r="AU9" i="9"/>
  <c r="AZ9" i="9" s="1"/>
  <c r="AU10" i="9"/>
  <c r="AZ10" i="9" s="1"/>
  <c r="AU11" i="9"/>
  <c r="AZ11" i="9" s="1"/>
  <c r="AO11" i="9"/>
  <c r="AY10" i="9"/>
  <c r="BC10" i="9" s="1"/>
  <c r="BE10" i="9"/>
  <c r="BF11" i="9"/>
  <c r="AY9" i="9"/>
  <c r="BC9" i="9" s="1"/>
  <c r="AY11" i="9"/>
  <c r="BC11" i="9" s="1"/>
  <c r="P11" i="9"/>
  <c r="A10" i="11"/>
  <c r="A11" i="11"/>
  <c r="A9" i="11"/>
  <c r="AW9" i="11" l="1"/>
  <c r="AW11" i="11"/>
  <c r="AS11" i="9"/>
  <c r="BG11" i="9" s="1"/>
  <c r="BM11" i="9" s="1"/>
  <c r="BO11" i="9" s="1"/>
  <c r="BP11" i="9" s="1"/>
  <c r="AS9" i="9"/>
  <c r="BG9" i="9" s="1"/>
  <c r="BM9" i="9" s="1"/>
  <c r="BO9" i="9" s="1"/>
  <c r="BP9" i="9" s="1"/>
  <c r="AW10" i="11"/>
  <c r="H11" i="11"/>
  <c r="T11" i="11"/>
  <c r="H9" i="11"/>
  <c r="T9" i="11"/>
  <c r="H10" i="11"/>
  <c r="T10" i="11"/>
  <c r="R20" i="21"/>
  <c r="F43" i="21"/>
  <c r="R44" i="21" s="1"/>
  <c r="R22" i="21"/>
  <c r="F44" i="21"/>
  <c r="R46" i="21" s="1"/>
  <c r="F21" i="21"/>
  <c r="F45" i="21" s="1"/>
  <c r="I10" i="11"/>
  <c r="I9" i="11"/>
  <c r="J9" i="11" s="1"/>
  <c r="I11" i="11"/>
  <c r="AS10" i="9"/>
  <c r="N9" i="9"/>
  <c r="R9" i="9" s="1"/>
  <c r="X9" i="9" s="1"/>
  <c r="Z9" i="9" s="1"/>
  <c r="N11" i="9"/>
  <c r="R11" i="9" s="1"/>
  <c r="X11" i="9" s="1"/>
  <c r="BB10" i="11"/>
  <c r="BA10" i="11"/>
  <c r="N10" i="9"/>
  <c r="BA11" i="11"/>
  <c r="BB11" i="11"/>
  <c r="BB9" i="11"/>
  <c r="BA9" i="11"/>
  <c r="BG10" i="9" l="1"/>
  <c r="BM10" i="9" s="1"/>
  <c r="BO10" i="9" s="1"/>
  <c r="BP10" i="9" s="1"/>
  <c r="BQ10" i="9" s="1"/>
  <c r="AA9" i="9"/>
  <c r="AB9" i="9" s="1"/>
  <c r="Z11" i="9"/>
  <c r="AX11" i="11"/>
  <c r="BQ11" i="9"/>
  <c r="AX9" i="11"/>
  <c r="AV9" i="16"/>
  <c r="AZ9" i="16" s="1"/>
  <c r="BD9" i="16" s="1"/>
  <c r="J10" i="11"/>
  <c r="J11" i="11"/>
  <c r="AV11" i="16"/>
  <c r="AZ11" i="16" s="1"/>
  <c r="BD11" i="16" s="1"/>
  <c r="R10" i="9"/>
  <c r="X10" i="9" s="1"/>
  <c r="Q9" i="11"/>
  <c r="S9" i="11" s="1"/>
  <c r="P11" i="16"/>
  <c r="T11" i="16" s="1"/>
  <c r="X11" i="16" s="1"/>
  <c r="P9" i="16"/>
  <c r="T9" i="16" s="1"/>
  <c r="X9" i="16" s="1"/>
  <c r="AV10" i="16" l="1"/>
  <c r="AZ10" i="16" s="1"/>
  <c r="BD10" i="16" s="1"/>
  <c r="BE10" i="16" s="1"/>
  <c r="BF10" i="16" s="1"/>
  <c r="AX10" i="11"/>
  <c r="AZ10" i="11" s="1"/>
  <c r="BD10" i="11" s="1"/>
  <c r="BE10" i="11" s="1"/>
  <c r="M11" i="11"/>
  <c r="N11" i="11"/>
  <c r="O11" i="11"/>
  <c r="M9" i="11"/>
  <c r="N9" i="11"/>
  <c r="O9" i="11"/>
  <c r="M10" i="11"/>
  <c r="N10" i="11"/>
  <c r="O10" i="11"/>
  <c r="AA11" i="9"/>
  <c r="AB11" i="9" s="1"/>
  <c r="AC11" i="9" s="1"/>
  <c r="Z10" i="9"/>
  <c r="AZ9" i="11"/>
  <c r="BD9" i="11" s="1"/>
  <c r="AZ11" i="11"/>
  <c r="BD11" i="11" s="1"/>
  <c r="BE11" i="11" s="1"/>
  <c r="Q10" i="11"/>
  <c r="BQ9" i="9"/>
  <c r="BR9" i="9" s="1"/>
  <c r="Q11" i="11"/>
  <c r="BE9" i="16"/>
  <c r="BF9" i="16" s="1"/>
  <c r="BE11" i="16"/>
  <c r="BF11" i="16" s="1"/>
  <c r="P10" i="16"/>
  <c r="T10" i="16" s="1"/>
  <c r="X10" i="16" s="1"/>
  <c r="Y11" i="16"/>
  <c r="BR10" i="9"/>
  <c r="BR11" i="9"/>
  <c r="P11" i="11" l="1"/>
  <c r="G20" i="21" s="1"/>
  <c r="P9" i="11"/>
  <c r="G18" i="21" s="1"/>
  <c r="BE9" i="11"/>
  <c r="BF9" i="11" s="1"/>
  <c r="P10" i="11"/>
  <c r="G19" i="21" s="1"/>
  <c r="I20" i="21"/>
  <c r="I44" i="21" s="1"/>
  <c r="R47" i="21" s="1"/>
  <c r="AA10" i="9"/>
  <c r="AB10" i="9" s="1"/>
  <c r="AC10" i="9" s="1"/>
  <c r="BF10" i="11"/>
  <c r="BH10" i="11"/>
  <c r="BF11" i="11"/>
  <c r="BG11" i="11"/>
  <c r="BH11" i="11"/>
  <c r="BG10" i="11"/>
  <c r="BG10" i="16"/>
  <c r="BH10" i="16" s="1"/>
  <c r="S11" i="11"/>
  <c r="U11" i="11" s="1"/>
  <c r="V11" i="11" s="1"/>
  <c r="BG9" i="16"/>
  <c r="BH9" i="16" s="1"/>
  <c r="BG11" i="16"/>
  <c r="BH11" i="16" s="1"/>
  <c r="S10" i="11"/>
  <c r="U10" i="11" s="1"/>
  <c r="V10" i="11" s="1"/>
  <c r="Z11" i="16"/>
  <c r="AA11" i="16" s="1"/>
  <c r="Y10" i="16"/>
  <c r="Z10" i="16" s="1"/>
  <c r="AA10" i="16" s="1"/>
  <c r="Y9" i="16"/>
  <c r="I18" i="21" s="1"/>
  <c r="U9" i="11"/>
  <c r="V9" i="11" s="1"/>
  <c r="W9" i="11" s="1"/>
  <c r="AC9" i="9"/>
  <c r="BH9" i="11" l="1"/>
  <c r="G44" i="21"/>
  <c r="S46" i="21" s="1"/>
  <c r="S22" i="21"/>
  <c r="H20" i="21"/>
  <c r="H44" i="21" s="1"/>
  <c r="G42" i="21"/>
  <c r="S42" i="21" s="1"/>
  <c r="H18" i="21"/>
  <c r="H42" i="21" s="1"/>
  <c r="S18" i="21"/>
  <c r="BG9" i="11"/>
  <c r="H19" i="21"/>
  <c r="G21" i="21"/>
  <c r="G45" i="21" s="1"/>
  <c r="S20" i="21"/>
  <c r="G43" i="21"/>
  <c r="S44" i="21" s="1"/>
  <c r="R23" i="21"/>
  <c r="I19" i="21"/>
  <c r="I43" i="21" s="1"/>
  <c r="R45" i="21" s="1"/>
  <c r="I42" i="21"/>
  <c r="R43" i="21" s="1"/>
  <c r="R19" i="21"/>
  <c r="F44" i="3"/>
  <c r="F43" i="3"/>
  <c r="BI11" i="11"/>
  <c r="BJ11" i="11" s="1"/>
  <c r="BI10" i="11"/>
  <c r="BJ10" i="11" s="1"/>
  <c r="W10" i="11"/>
  <c r="Y10" i="11"/>
  <c r="X10" i="11"/>
  <c r="X9" i="11"/>
  <c r="Y9" i="11"/>
  <c r="W11" i="11"/>
  <c r="X11" i="11"/>
  <c r="Y11" i="11"/>
  <c r="AB11" i="16"/>
  <c r="I44" i="3" s="1"/>
  <c r="AB10" i="16"/>
  <c r="I43" i="3" s="1"/>
  <c r="Z9" i="16"/>
  <c r="BI9" i="11" l="1"/>
  <c r="BJ9" i="11" s="1"/>
  <c r="BK9" i="11" s="1"/>
  <c r="BL9" i="11" s="1"/>
  <c r="BM9" i="11" s="1"/>
  <c r="H43" i="21"/>
  <c r="H21" i="21"/>
  <c r="H45" i="21" s="1"/>
  <c r="I21" i="21"/>
  <c r="I45" i="21" s="1"/>
  <c r="R21" i="21"/>
  <c r="BK11" i="11"/>
  <c r="BL11" i="11" s="1"/>
  <c r="BM11" i="11" s="1"/>
  <c r="BK10" i="11"/>
  <c r="BL10" i="11" s="1"/>
  <c r="BM10" i="11" s="1"/>
  <c r="Z11" i="11"/>
  <c r="AA11" i="11" s="1"/>
  <c r="AA9" i="16"/>
  <c r="Z10" i="11"/>
  <c r="AA10" i="11" s="1"/>
  <c r="Z9" i="11"/>
  <c r="AA9" i="11" s="1"/>
  <c r="AB9" i="11" s="1"/>
  <c r="AC9" i="11" s="1"/>
  <c r="J19" i="21" l="1"/>
  <c r="J18" i="21"/>
  <c r="J20" i="21"/>
  <c r="G42" i="3"/>
  <c r="AB9" i="16"/>
  <c r="I42" i="3" s="1"/>
  <c r="F42" i="3"/>
  <c r="AB10" i="11"/>
  <c r="AC10" i="11" s="1"/>
  <c r="AB11" i="11"/>
  <c r="AC11" i="11" s="1"/>
  <c r="J44" i="21" l="1"/>
  <c r="S47" i="21" s="1"/>
  <c r="S23" i="21"/>
  <c r="K20" i="21"/>
  <c r="K44" i="21" s="1"/>
  <c r="S19" i="21"/>
  <c r="J42" i="21"/>
  <c r="S43" i="21" s="1"/>
  <c r="J21" i="21"/>
  <c r="J45" i="21" s="1"/>
  <c r="K18" i="21"/>
  <c r="J43" i="21"/>
  <c r="S45" i="21" s="1"/>
  <c r="S21" i="21"/>
  <c r="K19" i="21"/>
  <c r="K43" i="21" s="1"/>
  <c r="G43" i="3"/>
  <c r="G44" i="3"/>
  <c r="H44" i="3" s="1"/>
  <c r="H50" i="18" s="1"/>
  <c r="F45" i="3"/>
  <c r="H42" i="3"/>
  <c r="F50" i="18" s="1"/>
  <c r="I45" i="3"/>
  <c r="AD11" i="11"/>
  <c r="J44" i="3" s="1"/>
  <c r="K44" i="3" s="1"/>
  <c r="AD10" i="11"/>
  <c r="J43" i="3" s="1"/>
  <c r="K43" i="3" s="1"/>
  <c r="AD9" i="11"/>
  <c r="J42" i="3" s="1"/>
  <c r="K42" i="3" s="1"/>
  <c r="K21" i="21" l="1"/>
  <c r="K45" i="21" s="1"/>
  <c r="K42" i="21"/>
  <c r="K45" i="3"/>
  <c r="J45" i="3"/>
  <c r="H43" i="3"/>
  <c r="G50" i="18" s="1"/>
  <c r="G45" i="3"/>
  <c r="M50" i="18"/>
  <c r="N50" i="18"/>
  <c r="L50" i="18"/>
  <c r="H45" i="3" l="1"/>
  <c r="I50" i="18" s="1"/>
  <c r="O50" i="18"/>
  <c r="H58" i="18" l="1"/>
  <c r="V18" i="18" s="1"/>
  <c r="S17" i="18"/>
  <c r="S18" i="18"/>
  <c r="E55" i="18"/>
  <c r="H55" i="18"/>
  <c r="E56" i="18"/>
  <c r="H56" i="18"/>
  <c r="E57" i="18"/>
  <c r="E58" i="18"/>
  <c r="V17" i="18" s="1"/>
  <c r="H57" i="18"/>
  <c r="N56" i="18"/>
  <c r="K56" i="18"/>
  <c r="K57" i="18"/>
  <c r="N57" i="18"/>
  <c r="K55" i="18"/>
  <c r="N55" i="18"/>
  <c r="W24" i="18"/>
  <c r="K58" i="18"/>
  <c r="W23" i="18" s="1"/>
  <c r="N58" i="18"/>
  <c r="W25" i="18" s="1"/>
  <c r="T24" i="18"/>
  <c r="T2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tc={37A13BA0-A7A6-46FA-B4AA-045CECDFB217}</author>
    <author>tc={F9FB0B0D-C047-4773-9127-2C2D9FFA8617}</author>
    <author>tc={A49E8B01-6832-425D-B7DE-4CF02868C77A}</author>
    <author>tc={DAFCC48A-4B8E-4030-B95A-81C18C383DEE}</author>
    <author>tc={6D2E1537-452E-46BF-9867-68453F7FA905}</author>
  </authors>
  <commentList>
    <comment ref="AT6" authorId="0" shapeId="0" xr:uid="{37A13BA0-A7A6-46FA-B4AA-045CECDFB217}">
      <text>
        <t>[Threaded comment]
Your version of Excel allows you to read this threaded comment; however, any edits to it will get removed if the file is opened in a newer version of Excel. Learn more: https://go.microsoft.com/fwlink/?linkid=870924
Comment:
    Different equation for sheep</t>
      </text>
    </comment>
    <comment ref="BA6" authorId="1" shapeId="0" xr:uid="{F9FB0B0D-C047-4773-9127-2C2D9FFA8617}">
      <text>
        <t>[Threaded comment]
Your version of Excel allows you to read this threaded comment; however, any edits to it will get removed if the file is opened in a newer version of Excel. Learn more: https://go.microsoft.com/fwlink/?linkid=870924
Comment:
    Different equation for sheep</t>
      </text>
    </comment>
    <comment ref="BB6" authorId="2" shapeId="0" xr:uid="{A49E8B01-6832-425D-B7DE-4CF02868C77A}">
      <text>
        <t>[Threaded comment]
Your version of Excel allows you to read this threaded comment; however, any edits to it will get removed if the file is opened in a newer version of Excel. Learn more: https://go.microsoft.com/fwlink/?linkid=870924
Comment:
    Different equation for sheep</t>
      </text>
    </comment>
    <comment ref="BC6" authorId="3" shapeId="0" xr:uid="{DAFCC48A-4B8E-4030-B95A-81C18C383DEE}">
      <text>
        <t>[Threaded comment]
Your version of Excel allows you to read this threaded comment; however, any edits to it will get removed if the file is opened in a newer version of Excel. Learn more: https://go.microsoft.com/fwlink/?linkid=870924
Comment:
    Different equation for sheep</t>
      </text>
    </comment>
    <comment ref="BG6" authorId="4" shapeId="0" xr:uid="{6D2E1537-452E-46BF-9867-68453F7FA905}">
      <text>
        <t>[Threaded comment]
Your version of Excel allows you to read this threaded comment; however, any edits to it will get removed if the file is opened in a newer version of Excel. Learn more: https://go.microsoft.com/fwlink/?linkid=870924
Comment:
    Different equation for sheep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tc={5879494A-EDA6-4F4D-AA44-A170053F1FD0}</author>
    <author>tc={F9E12759-F1AE-4B3B-89CE-4DDE0EAEE8A4}</author>
    <author>tc={267EE757-BC65-4408-8460-9B29A8FF34C7}</author>
    <author>tc={93540AEB-843C-4CDC-A2B0-8C72754175C9}</author>
  </authors>
  <commentList>
    <comment ref="W6" authorId="0" shapeId="0" xr:uid="{5879494A-EDA6-4F4D-AA44-A170053F1FD0}">
      <text>
        <t>[Threaded comment]
Your version of Excel allows you to read this threaded comment; however, any edits to it will get removed if the file is opened in a newer version of Excel. Learn more: https://go.microsoft.com/fwlink/?linkid=870924
Comment:
    Different equation for sheep</t>
      </text>
    </comment>
    <comment ref="BA6" authorId="1" shapeId="0" xr:uid="{F9E12759-F1AE-4B3B-89CE-4DDE0EAEE8A4}">
      <text>
        <t>[Threaded comment]
Your version of Excel allows you to read this threaded comment; however, any edits to it will get removed if the file is opened in a newer version of Excel. Learn more: https://go.microsoft.com/fwlink/?linkid=870924
Comment:
    Different equation for sheep</t>
      </text>
    </comment>
    <comment ref="BB6" authorId="2" shapeId="0" xr:uid="{267EE757-BC65-4408-8460-9B29A8FF34C7}">
      <text>
        <t>[Threaded comment]
Your version of Excel allows you to read this threaded comment; however, any edits to it will get removed if the file is opened in a newer version of Excel. Learn more: https://go.microsoft.com/fwlink/?linkid=870924
Comment:
    Calculated on the methane page
Reply:
    Using a different equation for sheep</t>
      </text>
    </comment>
    <comment ref="BF6" authorId="3" shapeId="0" xr:uid="{93540AEB-843C-4CDC-A2B0-8C72754175C9}">
      <text>
        <t>[Threaded comment]
Your version of Excel allows you to read this threaded comment; however, any edits to it will get removed if the file is opened in a newer version of Excel. Learn more: https://go.microsoft.com/fwlink/?linkid=870924
Comment:
    Using a different equation for sheep</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tc={1A1D28AD-1814-4E77-B493-D69097EAE6A9}</author>
  </authors>
  <commentList>
    <comment ref="J5" authorId="0" shapeId="0" xr:uid="{1A1D28AD-1814-4E77-B493-D69097EAE6A9}">
      <text>
        <t>[Threaded comment]
Your version of Excel allows you to read this threaded comment; however, any edits to it will get removed if the file is opened in a newer version of Excel. Learn more: https://go.microsoft.com/fwlink/?linkid=870924
Comment:
    LU - livestock unit equals 650 kg live weight for Ruminants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<sst xmlns="http://schemas.openxmlformats.org/spreadsheetml/2006/main" count="1241" uniqueCount="437">
  <si>
    <t>Salt Marsh</t>
  </si>
  <si>
    <t>Sand Dunes</t>
  </si>
  <si>
    <t>Heathlands</t>
  </si>
  <si>
    <t>Rush Pastures</t>
  </si>
  <si>
    <t>Blanket bog</t>
  </si>
  <si>
    <t>Fen</t>
  </si>
  <si>
    <t>Habitat</t>
  </si>
  <si>
    <t>Wood Pastures</t>
  </si>
  <si>
    <t>Area (ha)</t>
  </si>
  <si>
    <t>Please select which animals you are grazing</t>
  </si>
  <si>
    <t>Species</t>
  </si>
  <si>
    <t>Breed</t>
  </si>
  <si>
    <t>Bison</t>
  </si>
  <si>
    <t>Water buffalo</t>
  </si>
  <si>
    <t>Equine</t>
  </si>
  <si>
    <t>Sheep</t>
  </si>
  <si>
    <t>Cattle</t>
  </si>
  <si>
    <t>Deer</t>
  </si>
  <si>
    <t>Time spent grazing</t>
  </si>
  <si>
    <t>Days</t>
  </si>
  <si>
    <t>Total N in manure produced</t>
  </si>
  <si>
    <t>kg</t>
  </si>
  <si>
    <t>Calculation</t>
  </si>
  <si>
    <t>User input</t>
  </si>
  <si>
    <t>These use the IPCC 2019 methodology</t>
  </si>
  <si>
    <t>Kg</t>
  </si>
  <si>
    <t>Gross energy intake</t>
  </si>
  <si>
    <t>Methane conversion factor</t>
  </si>
  <si>
    <t>Energy content of methane</t>
  </si>
  <si>
    <t>Units</t>
  </si>
  <si>
    <t>Reference</t>
  </si>
  <si>
    <t>Number of days in a year</t>
  </si>
  <si>
    <t>days</t>
  </si>
  <si>
    <t>Activity coefficient (cattle and buffalo)</t>
  </si>
  <si>
    <t>Dimensionless</t>
  </si>
  <si>
    <r>
      <t>MJ day</t>
    </r>
    <r>
      <rPr>
        <vertAlign val="superscript"/>
        <sz val="11"/>
        <color theme="1"/>
        <rFont val="Calibri"/>
        <family val="2"/>
        <scheme val="minor"/>
      </rPr>
      <t>-1</t>
    </r>
  </si>
  <si>
    <r>
      <t>MJ day</t>
    </r>
    <r>
      <rPr>
        <vertAlign val="superscript"/>
        <sz val="11"/>
        <color theme="1"/>
        <rFont val="Calibri"/>
        <family val="2"/>
        <scheme val="minor"/>
      </rPr>
      <t>-1</t>
    </r>
    <r>
      <rPr>
        <sz val="11"/>
        <color theme="1"/>
        <rFont val="Calibri"/>
        <family val="2"/>
        <scheme val="minor"/>
      </rPr>
      <t xml:space="preserve"> kg</t>
    </r>
    <r>
      <rPr>
        <vertAlign val="superscript"/>
        <sz val="11"/>
        <color theme="1"/>
        <rFont val="Calibri"/>
        <family val="2"/>
        <scheme val="minor"/>
      </rPr>
      <t>-1</t>
    </r>
  </si>
  <si>
    <r>
      <t>MJ day</t>
    </r>
    <r>
      <rPr>
        <vertAlign val="superscript"/>
        <sz val="11"/>
        <color theme="1"/>
        <rFont val="Calibri"/>
        <family val="2"/>
        <scheme val="minor"/>
      </rPr>
      <t>-1</t>
    </r>
    <r>
      <rPr>
        <sz val="11"/>
        <color theme="1"/>
        <rFont val="Calibri"/>
        <family val="2"/>
        <scheme val="minor"/>
      </rPr>
      <t xml:space="preserve"> </t>
    </r>
  </si>
  <si>
    <t>Average daily weight gain (cattle and buffalos)</t>
  </si>
  <si>
    <r>
      <t>kg day</t>
    </r>
    <r>
      <rPr>
        <vertAlign val="superscript"/>
        <sz val="11"/>
        <color theme="1"/>
        <rFont val="Calibri"/>
        <family val="2"/>
        <scheme val="minor"/>
      </rPr>
      <t>-1</t>
    </r>
  </si>
  <si>
    <t>Mature body weight (cattle and buffalo)</t>
  </si>
  <si>
    <t>Live bodyweight at weaning (lambs and goats)</t>
  </si>
  <si>
    <t>Live bodyweight at slaughter (lambs and goats)</t>
  </si>
  <si>
    <t>Weight gain (lambs and goats)</t>
  </si>
  <si>
    <r>
      <t>MJ kg</t>
    </r>
    <r>
      <rPr>
        <vertAlign val="superscript"/>
        <sz val="11"/>
        <color theme="1"/>
        <rFont val="Calibri"/>
        <family val="2"/>
        <scheme val="minor"/>
      </rPr>
      <t>-1</t>
    </r>
  </si>
  <si>
    <t>IPCC table</t>
  </si>
  <si>
    <t>Digestibility of feed</t>
  </si>
  <si>
    <t>Ratio of net energy available in a diet for maintenance to digestible energy</t>
  </si>
  <si>
    <t>Ratio of net energy available for growth in a diet to digestible energy consumed</t>
  </si>
  <si>
    <t>IPCC provides</t>
  </si>
  <si>
    <t>Gross Energy Intake</t>
  </si>
  <si>
    <r>
      <t>MJ animal</t>
    </r>
    <r>
      <rPr>
        <vertAlign val="superscript"/>
        <sz val="11"/>
        <color theme="1"/>
        <rFont val="Calibri"/>
        <family val="2"/>
        <scheme val="minor"/>
      </rPr>
      <t>-1</t>
    </r>
    <r>
      <rPr>
        <sz val="11"/>
        <color theme="1"/>
        <rFont val="Calibri"/>
        <family val="2"/>
        <scheme val="minor"/>
      </rPr>
      <t xml:space="preserve"> day</t>
    </r>
    <r>
      <rPr>
        <vertAlign val="superscript"/>
        <sz val="11"/>
        <color theme="1"/>
        <rFont val="Calibri"/>
        <family val="2"/>
        <scheme val="minor"/>
      </rPr>
      <t>-1</t>
    </r>
  </si>
  <si>
    <t>Calculated on the methane page</t>
  </si>
  <si>
    <t>Crude protein in the dry matter</t>
  </si>
  <si>
    <t>%</t>
  </si>
  <si>
    <t>Daily N consumed per animal</t>
  </si>
  <si>
    <r>
      <t>kg N animal</t>
    </r>
    <r>
      <rPr>
        <vertAlign val="superscript"/>
        <sz val="11"/>
        <color theme="1"/>
        <rFont val="Calibri"/>
        <family val="2"/>
        <scheme val="minor"/>
      </rPr>
      <t>-1</t>
    </r>
    <r>
      <rPr>
        <sz val="11"/>
        <color theme="1"/>
        <rFont val="Calibri"/>
        <family val="2"/>
        <scheme val="minor"/>
      </rPr>
      <t xml:space="preserve"> day</t>
    </r>
    <r>
      <rPr>
        <vertAlign val="superscript"/>
        <sz val="11"/>
        <color theme="1"/>
        <rFont val="Calibri"/>
        <family val="2"/>
        <scheme val="minor"/>
      </rPr>
      <t>-1</t>
    </r>
  </si>
  <si>
    <t>Weight gain</t>
  </si>
  <si>
    <t>Net energy for growth (NEg)</t>
  </si>
  <si>
    <t>N retention rates</t>
  </si>
  <si>
    <t>N excretion rates</t>
  </si>
  <si>
    <t>Number of animals - adults</t>
  </si>
  <si>
    <t>Number of animals - juvenilles</t>
  </si>
  <si>
    <t>Emissions factor for N volatilisation and redeposition</t>
  </si>
  <si>
    <t>Value</t>
  </si>
  <si>
    <r>
      <t>IPCC (2019) Chapter 11: N</t>
    </r>
    <r>
      <rPr>
        <vertAlign val="subscript"/>
        <sz val="11"/>
        <color theme="1"/>
        <rFont val="Calibri"/>
        <family val="2"/>
        <scheme val="minor"/>
      </rPr>
      <t>2</t>
    </r>
    <r>
      <rPr>
        <sz val="11"/>
        <color theme="1"/>
        <rFont val="Calibri"/>
        <family val="2"/>
        <scheme val="minor"/>
      </rPr>
      <t>O emissions from managed soils, and CO</t>
    </r>
    <r>
      <rPr>
        <vertAlign val="subscript"/>
        <sz val="11"/>
        <color theme="1"/>
        <rFont val="Calibri"/>
        <family val="2"/>
        <scheme val="minor"/>
      </rPr>
      <t>2</t>
    </r>
    <r>
      <rPr>
        <sz val="11"/>
        <color theme="1"/>
        <rFont val="Calibri"/>
        <family val="2"/>
        <scheme val="minor"/>
      </rPr>
      <t xml:space="preserve"> emissions from lime and urea application. Table 11.3 Default emission, volatilisation and leaching factors for indirect soil N2O emissions</t>
    </r>
  </si>
  <si>
    <t>Emissions factor for N leaching and runoff</t>
  </si>
  <si>
    <r>
      <t>kg N</t>
    </r>
    <r>
      <rPr>
        <vertAlign val="subscript"/>
        <sz val="11"/>
        <color theme="1"/>
        <rFont val="Calibri"/>
        <family val="2"/>
        <scheme val="minor"/>
      </rPr>
      <t>2</t>
    </r>
    <r>
      <rPr>
        <sz val="11"/>
        <color theme="1"/>
        <rFont val="Calibri"/>
        <family val="2"/>
        <scheme val="minor"/>
      </rPr>
      <t>O-N</t>
    </r>
  </si>
  <si>
    <t>Fraction of N volatilised from dung and urine deposition during grazing</t>
  </si>
  <si>
    <t>Fraction of N lost from leaching or runoff in wet climates</t>
  </si>
  <si>
    <r>
      <t>IPCC (2019) Chapter 11: N</t>
    </r>
    <r>
      <rPr>
        <vertAlign val="subscript"/>
        <sz val="11"/>
        <color theme="1"/>
        <rFont val="Calibri"/>
        <family val="2"/>
        <scheme val="minor"/>
      </rPr>
      <t>2</t>
    </r>
    <r>
      <rPr>
        <sz val="11"/>
        <color theme="1"/>
        <rFont val="Calibri"/>
        <family val="2"/>
        <scheme val="minor"/>
      </rPr>
      <t>O emissions from managed soils, and CO</t>
    </r>
    <r>
      <rPr>
        <vertAlign val="subscript"/>
        <sz val="11"/>
        <color theme="1"/>
        <rFont val="Calibri"/>
        <family val="2"/>
        <scheme val="minor"/>
      </rPr>
      <t>2</t>
    </r>
    <r>
      <rPr>
        <sz val="11"/>
        <color theme="1"/>
        <rFont val="Calibri"/>
        <family val="2"/>
        <scheme val="minor"/>
      </rPr>
      <t xml:space="preserve"> emissions from lime and urea application. Table 11.1 Default emissions factors to estimate direct N</t>
    </r>
    <r>
      <rPr>
        <vertAlign val="subscript"/>
        <sz val="11"/>
        <color theme="1"/>
        <rFont val="Calibri"/>
        <family val="2"/>
        <scheme val="minor"/>
      </rPr>
      <t>2</t>
    </r>
    <r>
      <rPr>
        <sz val="11"/>
        <color theme="1"/>
        <rFont val="Calibri"/>
        <family val="2"/>
        <scheme val="minor"/>
      </rPr>
      <t>O emissions from managed soils</t>
    </r>
  </si>
  <si>
    <t>IPCC (2021) Chapter 7: The Earth's Energy Budget, Climate Feedbacks and Climate Sensitivity. Table 7.15: Emissions metrics for selected species: global warming potential (GWP), global temperature-change potential (GTP)</t>
  </si>
  <si>
    <r>
      <t>MJ/kg CH</t>
    </r>
    <r>
      <rPr>
        <vertAlign val="subscript"/>
        <sz val="11"/>
        <color theme="1"/>
        <rFont val="Calibri"/>
        <family val="2"/>
        <scheme val="minor"/>
      </rPr>
      <t>4</t>
    </r>
  </si>
  <si>
    <t>IPCC (2019) Chapter 10: Emissions from livestock and manure management. Table 10.19 (Updated) Default values for nitrogen excretion rate</t>
  </si>
  <si>
    <t>Please select</t>
  </si>
  <si>
    <t>Assumed weight - adults</t>
  </si>
  <si>
    <t>Assumed weight - juveniles</t>
  </si>
  <si>
    <t>Conversion factor for dietary GE per kg dry matter</t>
  </si>
  <si>
    <t>Conversion factor for kg of dietary protein to kg of dietary N</t>
  </si>
  <si>
    <t>ID</t>
  </si>
  <si>
    <r>
      <t>Grazing direct N</t>
    </r>
    <r>
      <rPr>
        <b/>
        <vertAlign val="subscript"/>
        <sz val="11"/>
        <color theme="1"/>
        <rFont val="Calibri"/>
        <family val="2"/>
        <scheme val="minor"/>
      </rPr>
      <t>2</t>
    </r>
    <r>
      <rPr>
        <b/>
        <sz val="11"/>
        <color theme="1"/>
        <rFont val="Calibri"/>
        <family val="2"/>
        <scheme val="minor"/>
      </rPr>
      <t>O emission</t>
    </r>
  </si>
  <si>
    <r>
      <t>Grazing NH</t>
    </r>
    <r>
      <rPr>
        <b/>
        <vertAlign val="subscript"/>
        <sz val="11"/>
        <color theme="1"/>
        <rFont val="Calibri"/>
        <family val="2"/>
        <scheme val="minor"/>
      </rPr>
      <t>3</t>
    </r>
    <r>
      <rPr>
        <b/>
        <sz val="11"/>
        <color theme="1"/>
        <rFont val="Calibri"/>
        <family val="2"/>
        <scheme val="minor"/>
      </rPr>
      <t xml:space="preserve"> Indirect N</t>
    </r>
    <r>
      <rPr>
        <b/>
        <vertAlign val="subscript"/>
        <sz val="11"/>
        <color theme="1"/>
        <rFont val="Calibri"/>
        <family val="2"/>
        <scheme val="minor"/>
      </rPr>
      <t>2</t>
    </r>
    <r>
      <rPr>
        <b/>
        <sz val="11"/>
        <color theme="1"/>
        <rFont val="Calibri"/>
        <family val="2"/>
        <scheme val="minor"/>
      </rPr>
      <t>O emission</t>
    </r>
  </si>
  <si>
    <r>
      <t>Grazing NO</t>
    </r>
    <r>
      <rPr>
        <b/>
        <vertAlign val="subscript"/>
        <sz val="11"/>
        <color theme="1"/>
        <rFont val="Calibri"/>
        <family val="2"/>
        <scheme val="minor"/>
      </rPr>
      <t>3</t>
    </r>
    <r>
      <rPr>
        <b/>
        <sz val="11"/>
        <color theme="1"/>
        <rFont val="Calibri"/>
        <family val="2"/>
        <scheme val="minor"/>
      </rPr>
      <t xml:space="preserve"> Indirect N</t>
    </r>
    <r>
      <rPr>
        <b/>
        <vertAlign val="subscript"/>
        <sz val="11"/>
        <color theme="1"/>
        <rFont val="Calibri"/>
        <family val="2"/>
        <scheme val="minor"/>
      </rPr>
      <t>2</t>
    </r>
    <r>
      <rPr>
        <b/>
        <sz val="11"/>
        <color theme="1"/>
        <rFont val="Calibri"/>
        <family val="2"/>
        <scheme val="minor"/>
      </rPr>
      <t>O emission</t>
    </r>
  </si>
  <si>
    <r>
      <t>Grazing total indirect N</t>
    </r>
    <r>
      <rPr>
        <b/>
        <vertAlign val="subscript"/>
        <sz val="11"/>
        <color theme="1"/>
        <rFont val="Calibri"/>
        <family val="2"/>
        <scheme val="minor"/>
      </rPr>
      <t>2</t>
    </r>
    <r>
      <rPr>
        <b/>
        <sz val="11"/>
        <color theme="1"/>
        <rFont val="Calibri"/>
        <family val="2"/>
        <scheme val="minor"/>
      </rPr>
      <t>O emission</t>
    </r>
  </si>
  <si>
    <t>IPCC (2019) Chapter 10: Emissions from livestock and manure management. Table 10.4 (updated) coefficients for calculating net energy for maintenance (Nem)</t>
  </si>
  <si>
    <t>Situation</t>
  </si>
  <si>
    <t>IPCC (2019) Chapter 10: Emissions from livestock and manure management. Table 10.5 (updated) activity coefficients corresponding to animal's feeding situation</t>
  </si>
  <si>
    <t>IPCC (2019) Chapter 10: Emissions from livestock and manure management. Equation 10.21: Methane emission factors for enteric fermentation from a livestock category</t>
  </si>
  <si>
    <t>ID with grazing intensity</t>
  </si>
  <si>
    <r>
      <t>Coefficient for calculating NE</t>
    </r>
    <r>
      <rPr>
        <b/>
        <vertAlign val="subscript"/>
        <sz val="11"/>
        <color theme="1"/>
        <rFont val="Calibri"/>
        <family val="2"/>
        <scheme val="minor"/>
      </rPr>
      <t>m</t>
    </r>
  </si>
  <si>
    <r>
      <t>Net energy required for maintenance (NE</t>
    </r>
    <r>
      <rPr>
        <b/>
        <vertAlign val="subscript"/>
        <sz val="11"/>
        <color theme="1"/>
        <rFont val="Calibri"/>
        <family val="2"/>
        <scheme val="minor"/>
      </rPr>
      <t>m</t>
    </r>
    <r>
      <rPr>
        <b/>
        <sz val="11"/>
        <color theme="1"/>
        <rFont val="Calibri"/>
        <family val="2"/>
        <scheme val="minor"/>
      </rPr>
      <t>)</t>
    </r>
  </si>
  <si>
    <r>
      <t>Grazing intensity (for IPCC NE</t>
    </r>
    <r>
      <rPr>
        <b/>
        <vertAlign val="subscript"/>
        <sz val="11"/>
        <color theme="1"/>
        <rFont val="Calibri"/>
        <family val="2"/>
        <scheme val="minor"/>
      </rPr>
      <t>a</t>
    </r>
    <r>
      <rPr>
        <b/>
        <sz val="11"/>
        <color theme="1"/>
        <rFont val="Calibri"/>
        <family val="2"/>
        <scheme val="minor"/>
      </rPr>
      <t xml:space="preserve"> value)</t>
    </r>
  </si>
  <si>
    <r>
      <t>Net energy for activity (for cattle and buffalo) (NE</t>
    </r>
    <r>
      <rPr>
        <b/>
        <vertAlign val="subscript"/>
        <sz val="11"/>
        <color theme="1"/>
        <rFont val="Calibri"/>
        <family val="2"/>
        <scheme val="minor"/>
      </rPr>
      <t>a</t>
    </r>
    <r>
      <rPr>
        <b/>
        <sz val="11"/>
        <color theme="1"/>
        <rFont val="Calibri"/>
        <family val="2"/>
        <scheme val="minor"/>
      </rPr>
      <t>)</t>
    </r>
  </si>
  <si>
    <r>
      <t>Coefficient for calculating NE</t>
    </r>
    <r>
      <rPr>
        <b/>
        <vertAlign val="subscript"/>
        <sz val="11"/>
        <color theme="1"/>
        <rFont val="Calibri"/>
        <family val="2"/>
        <scheme val="minor"/>
      </rPr>
      <t>g</t>
    </r>
  </si>
  <si>
    <r>
      <t>Net energy for growth (cattle and buffalo) (NE</t>
    </r>
    <r>
      <rPr>
        <b/>
        <vertAlign val="subscript"/>
        <sz val="11"/>
        <color theme="1"/>
        <rFont val="Calibri"/>
        <family val="2"/>
        <scheme val="minor"/>
      </rPr>
      <t>g</t>
    </r>
    <r>
      <rPr>
        <b/>
        <sz val="11"/>
        <color theme="1"/>
        <rFont val="Calibri"/>
        <family val="2"/>
        <scheme val="minor"/>
      </rPr>
      <t>)</t>
    </r>
  </si>
  <si>
    <r>
      <t>Net energy for growth (sheep and goats) (NE</t>
    </r>
    <r>
      <rPr>
        <b/>
        <vertAlign val="subscript"/>
        <sz val="11"/>
        <color theme="1"/>
        <rFont val="Calibri"/>
        <family val="2"/>
        <scheme val="minor"/>
      </rPr>
      <t>g</t>
    </r>
    <r>
      <rPr>
        <b/>
        <sz val="11"/>
        <color theme="1"/>
        <rFont val="Calibri"/>
        <family val="2"/>
        <scheme val="minor"/>
      </rPr>
      <t>)</t>
    </r>
  </si>
  <si>
    <r>
      <t>Methane conversion factors (Y</t>
    </r>
    <r>
      <rPr>
        <b/>
        <i/>
        <vertAlign val="subscript"/>
        <sz val="11"/>
        <rFont val="Calibri"/>
        <family val="2"/>
        <scheme val="minor"/>
      </rPr>
      <t>m</t>
    </r>
    <r>
      <rPr>
        <b/>
        <i/>
        <sz val="11"/>
        <rFont val="Calibri"/>
        <family val="2"/>
        <scheme val="minor"/>
      </rPr>
      <t>)</t>
    </r>
  </si>
  <si>
    <t>Factor</t>
  </si>
  <si>
    <t>IPCC (2019) Chapter 10: Emissions from livestock and manure management. Table 10.8 (New) DMI required by mature non dairy cows based on forage quality</t>
  </si>
  <si>
    <t>IPCC (2019) Chapter 10: Emissions from livestock and manure management. Equation 10.6: Net energy for growth for cattle and buffalo</t>
  </si>
  <si>
    <t>a (sheep and goats)</t>
  </si>
  <si>
    <t>b (sheep and goats)</t>
  </si>
  <si>
    <t>Activity coefficient</t>
  </si>
  <si>
    <r>
      <t>Net energy for activity (NE</t>
    </r>
    <r>
      <rPr>
        <b/>
        <vertAlign val="subscript"/>
        <sz val="11"/>
        <color theme="1"/>
        <rFont val="Calibri"/>
        <family val="2"/>
        <scheme val="minor"/>
      </rPr>
      <t>a</t>
    </r>
    <r>
      <rPr>
        <b/>
        <sz val="11"/>
        <color theme="1"/>
        <rFont val="Calibri"/>
        <family val="2"/>
        <scheme val="minor"/>
      </rPr>
      <t>)</t>
    </r>
  </si>
  <si>
    <t>Methane emissions factor</t>
  </si>
  <si>
    <t>Enteric fermentation emissions</t>
  </si>
  <si>
    <t>Livestock units</t>
  </si>
  <si>
    <t>Adult Weight</t>
  </si>
  <si>
    <t>Juvenile Weight</t>
  </si>
  <si>
    <t>Daily live weight gain</t>
  </si>
  <si>
    <t>Live bodyweight at weaning</t>
  </si>
  <si>
    <t>Live bodyweight at slaughter</t>
  </si>
  <si>
    <t>Medium</t>
  </si>
  <si>
    <t>Breeds</t>
  </si>
  <si>
    <t>Species 1</t>
  </si>
  <si>
    <t>Species 2</t>
  </si>
  <si>
    <t>NE 2013: Tables E &amp; F</t>
  </si>
  <si>
    <t>Species code: hidden</t>
  </si>
  <si>
    <t>Species 3</t>
  </si>
  <si>
    <t>An average between Tables 10.A.4 and 10A.2 in IPCC (2019) Chapter 10: Emissions from livestock and manure management.</t>
  </si>
  <si>
    <t>AHDB (2023) Monitoring dairy calf growth. https://ahdb.org.uk/knowledge-library/monitoring-dairy-calf-growth#:~:text=A%20calf%20has%20a%20birth%20weight%20of%2036%20kg.</t>
  </si>
  <si>
    <t>Model input</t>
  </si>
  <si>
    <t>kg N animal-1 year-1</t>
  </si>
  <si>
    <r>
      <t>MJ kg</t>
    </r>
    <r>
      <rPr>
        <vertAlign val="superscript"/>
        <sz val="11"/>
        <color theme="1"/>
        <rFont val="Calibri"/>
        <family val="2"/>
        <scheme val="minor"/>
      </rPr>
      <t>-1</t>
    </r>
    <r>
      <rPr>
        <sz val="11"/>
        <color theme="1"/>
        <rFont val="Calibri"/>
        <family val="2"/>
        <scheme val="minor"/>
      </rPr>
      <t xml:space="preserve"> </t>
    </r>
  </si>
  <si>
    <r>
      <t>MJ animal</t>
    </r>
    <r>
      <rPr>
        <vertAlign val="superscript"/>
        <sz val="11"/>
        <color theme="1"/>
        <rFont val="Calibri"/>
        <family val="2"/>
        <scheme val="minor"/>
      </rPr>
      <t>-1</t>
    </r>
    <r>
      <rPr>
        <sz val="11"/>
        <color theme="1"/>
        <rFont val="Calibri"/>
        <family val="2"/>
        <scheme val="minor"/>
      </rPr>
      <t xml:space="preserve"> day</t>
    </r>
    <r>
      <rPr>
        <vertAlign val="superscript"/>
        <sz val="11"/>
        <color theme="1"/>
        <rFont val="Calibri"/>
        <family val="2"/>
        <scheme val="minor"/>
      </rPr>
      <t xml:space="preserve">-1 </t>
    </r>
  </si>
  <si>
    <r>
      <t>kg CH</t>
    </r>
    <r>
      <rPr>
        <vertAlign val="subscript"/>
        <sz val="11"/>
        <color theme="1"/>
        <rFont val="Calibri"/>
        <family val="2"/>
        <scheme val="minor"/>
      </rPr>
      <t>4</t>
    </r>
    <r>
      <rPr>
        <sz val="11"/>
        <color theme="1"/>
        <rFont val="Calibri"/>
        <family val="2"/>
        <scheme val="minor"/>
      </rPr>
      <t xml:space="preserve"> animal</t>
    </r>
    <r>
      <rPr>
        <vertAlign val="superscript"/>
        <sz val="11"/>
        <color theme="1"/>
        <rFont val="Calibri"/>
        <family val="2"/>
        <scheme val="minor"/>
      </rPr>
      <t>-1</t>
    </r>
    <r>
      <rPr>
        <sz val="11"/>
        <color theme="1"/>
        <rFont val="Calibri"/>
        <family val="2"/>
        <scheme val="minor"/>
      </rPr>
      <t xml:space="preserve"> year</t>
    </r>
    <r>
      <rPr>
        <vertAlign val="superscript"/>
        <sz val="11"/>
        <color theme="1"/>
        <rFont val="Calibri"/>
        <family val="2"/>
        <scheme val="minor"/>
      </rPr>
      <t xml:space="preserve">-1 </t>
    </r>
  </si>
  <si>
    <t>Animals</t>
  </si>
  <si>
    <r>
      <t>MJ animals</t>
    </r>
    <r>
      <rPr>
        <vertAlign val="superscript"/>
        <sz val="11"/>
        <color theme="1"/>
        <rFont val="Calibri"/>
        <family val="2"/>
        <scheme val="minor"/>
      </rPr>
      <t>-1</t>
    </r>
    <r>
      <rPr>
        <sz val="11"/>
        <color theme="1"/>
        <rFont val="Calibri"/>
        <family val="2"/>
        <scheme val="minor"/>
      </rPr>
      <t xml:space="preserve"> day</t>
    </r>
    <r>
      <rPr>
        <vertAlign val="superscript"/>
        <sz val="11"/>
        <color theme="1"/>
        <rFont val="Calibri"/>
        <family val="2"/>
        <scheme val="minor"/>
      </rPr>
      <t xml:space="preserve">-1 </t>
    </r>
  </si>
  <si>
    <r>
      <t>kg N</t>
    </r>
    <r>
      <rPr>
        <vertAlign val="subscript"/>
        <sz val="11"/>
        <color theme="1"/>
        <rFont val="Calibri"/>
        <family val="2"/>
        <scheme val="minor"/>
      </rPr>
      <t>2</t>
    </r>
    <r>
      <rPr>
        <sz val="11"/>
        <color theme="1"/>
        <rFont val="Calibri"/>
        <family val="2"/>
        <scheme val="minor"/>
      </rPr>
      <t>O-N year</t>
    </r>
    <r>
      <rPr>
        <vertAlign val="superscript"/>
        <sz val="11"/>
        <color theme="1"/>
        <rFont val="Calibri"/>
        <family val="2"/>
        <scheme val="minor"/>
      </rPr>
      <t>-1</t>
    </r>
    <r>
      <rPr>
        <sz val="11"/>
        <color theme="1"/>
        <rFont val="Calibri"/>
        <family val="2"/>
        <scheme val="minor"/>
      </rPr>
      <t xml:space="preserve"> population</t>
    </r>
    <r>
      <rPr>
        <vertAlign val="superscript"/>
        <sz val="11"/>
        <color theme="1"/>
        <rFont val="Calibri"/>
        <family val="2"/>
        <scheme val="minor"/>
      </rPr>
      <t>-1</t>
    </r>
  </si>
  <si>
    <r>
      <t>Grazing total N</t>
    </r>
    <r>
      <rPr>
        <b/>
        <vertAlign val="subscript"/>
        <sz val="11"/>
        <color theme="1"/>
        <rFont val="Calibri"/>
        <family val="2"/>
        <scheme val="minor"/>
      </rPr>
      <t>2</t>
    </r>
    <r>
      <rPr>
        <b/>
        <sz val="11"/>
        <color theme="1"/>
        <rFont val="Calibri"/>
        <family val="2"/>
        <scheme val="minor"/>
      </rPr>
      <t>O emission [CO2e]</t>
    </r>
  </si>
  <si>
    <r>
      <t>Grazing total N</t>
    </r>
    <r>
      <rPr>
        <b/>
        <vertAlign val="subscript"/>
        <sz val="11"/>
        <color theme="1"/>
        <rFont val="Calibri"/>
        <family val="2"/>
        <scheme val="minor"/>
      </rPr>
      <t>2</t>
    </r>
    <r>
      <rPr>
        <b/>
        <sz val="11"/>
        <color theme="1"/>
        <rFont val="Calibri"/>
        <family val="2"/>
        <scheme val="minor"/>
      </rPr>
      <t>O emission [N</t>
    </r>
    <r>
      <rPr>
        <b/>
        <vertAlign val="subscript"/>
        <sz val="11"/>
        <color theme="1"/>
        <rFont val="Calibri"/>
        <family val="2"/>
        <scheme val="minor"/>
      </rPr>
      <t>2</t>
    </r>
    <r>
      <rPr>
        <b/>
        <sz val="11"/>
        <color theme="1"/>
        <rFont val="Calibri"/>
        <family val="2"/>
        <scheme val="minor"/>
      </rPr>
      <t>O]</t>
    </r>
  </si>
  <si>
    <r>
      <t>Grazing total N</t>
    </r>
    <r>
      <rPr>
        <b/>
        <vertAlign val="subscript"/>
        <sz val="11"/>
        <color theme="1"/>
        <rFont val="Calibri"/>
        <family val="2"/>
        <scheme val="minor"/>
      </rPr>
      <t>2</t>
    </r>
    <r>
      <rPr>
        <b/>
        <sz val="11"/>
        <color theme="1"/>
        <rFont val="Calibri"/>
        <family val="2"/>
        <scheme val="minor"/>
      </rPr>
      <t>O emission [N]</t>
    </r>
  </si>
  <si>
    <t>Length of juvenile phase</t>
  </si>
  <si>
    <t>months</t>
  </si>
  <si>
    <t>Please select which habitat you are interested in</t>
  </si>
  <si>
    <t>Maximum</t>
  </si>
  <si>
    <t>Maintenance</t>
  </si>
  <si>
    <t>Appendix 2; NE 2013.</t>
  </si>
  <si>
    <t>Habitats</t>
  </si>
  <si>
    <t>Total Livestock Units</t>
  </si>
  <si>
    <t>Livestock Units</t>
  </si>
  <si>
    <t>Restoration</t>
  </si>
  <si>
    <t>Data entered</t>
  </si>
  <si>
    <t>How many adults do you have?</t>
  </si>
  <si>
    <t>How many juveniles do you have?</t>
  </si>
  <si>
    <t>Please select the proportion of the year that your animals spend grazing</t>
  </si>
  <si>
    <t>Habitat information</t>
  </si>
  <si>
    <t>Livestock information</t>
  </si>
  <si>
    <t>GHG emissions</t>
  </si>
  <si>
    <t>Annual VS excretion for livestock category</t>
  </si>
  <si>
    <r>
      <t>kg VS (1000 kg animal mass)</t>
    </r>
    <r>
      <rPr>
        <vertAlign val="superscript"/>
        <sz val="11"/>
        <color theme="1"/>
        <rFont val="Calibri"/>
        <family val="2"/>
        <scheme val="minor"/>
      </rPr>
      <t>-1</t>
    </r>
    <r>
      <rPr>
        <sz val="11"/>
        <color theme="1"/>
        <rFont val="Calibri"/>
        <family val="2"/>
        <scheme val="minor"/>
      </rPr>
      <t xml:space="preserve"> day</t>
    </r>
    <r>
      <rPr>
        <vertAlign val="superscript"/>
        <sz val="11"/>
        <color theme="1"/>
        <rFont val="Calibri"/>
        <family val="2"/>
        <scheme val="minor"/>
      </rPr>
      <t>-1</t>
    </r>
  </si>
  <si>
    <r>
      <t>kg VS animal</t>
    </r>
    <r>
      <rPr>
        <vertAlign val="superscript"/>
        <sz val="11"/>
        <color theme="1"/>
        <rFont val="Calibri"/>
        <family val="2"/>
        <scheme val="minor"/>
      </rPr>
      <t>-1</t>
    </r>
    <r>
      <rPr>
        <sz val="11"/>
        <color theme="1"/>
        <rFont val="Calibri"/>
        <family val="2"/>
        <scheme val="minor"/>
      </rPr>
      <t xml:space="preserve"> yr</t>
    </r>
    <r>
      <rPr>
        <vertAlign val="superscript"/>
        <sz val="11"/>
        <color theme="1"/>
        <rFont val="Calibri"/>
        <family val="2"/>
        <scheme val="minor"/>
      </rPr>
      <t>-1</t>
    </r>
  </si>
  <si>
    <t>Maximum methane producing capacity for manure produced</t>
  </si>
  <si>
    <t>Habitat area</t>
  </si>
  <si>
    <t>ha</t>
  </si>
  <si>
    <t>Enteric fermentation emissions (per population)</t>
  </si>
  <si>
    <t>Enteric fermentation emissions (per hectare)</t>
  </si>
  <si>
    <r>
      <t>Grazing total N</t>
    </r>
    <r>
      <rPr>
        <b/>
        <vertAlign val="subscript"/>
        <sz val="11"/>
        <color theme="1"/>
        <rFont val="Calibri"/>
        <family val="2"/>
        <scheme val="minor"/>
      </rPr>
      <t>2</t>
    </r>
    <r>
      <rPr>
        <b/>
        <sz val="11"/>
        <color theme="1"/>
        <rFont val="Calibri"/>
        <family val="2"/>
        <scheme val="minor"/>
      </rPr>
      <t>O emission [CO2e] (per hectare)</t>
    </r>
  </si>
  <si>
    <r>
      <t>Grazing total N</t>
    </r>
    <r>
      <rPr>
        <b/>
        <vertAlign val="subscript"/>
        <sz val="11"/>
        <color theme="1"/>
        <rFont val="Calibri"/>
        <family val="2"/>
        <scheme val="minor"/>
      </rPr>
      <t>2</t>
    </r>
    <r>
      <rPr>
        <b/>
        <sz val="11"/>
        <color theme="1"/>
        <rFont val="Calibri"/>
        <family val="2"/>
        <scheme val="minor"/>
      </rPr>
      <t>O emission [CO2e] (per population)</t>
    </r>
  </si>
  <si>
    <t>Habitat type</t>
  </si>
  <si>
    <r>
      <t>m</t>
    </r>
    <r>
      <rPr>
        <vertAlign val="superscript"/>
        <sz val="11"/>
        <color theme="1"/>
        <rFont val="Calibri"/>
        <family val="2"/>
        <scheme val="minor"/>
      </rPr>
      <t>3</t>
    </r>
    <r>
      <rPr>
        <sz val="11"/>
        <color theme="1"/>
        <rFont val="Calibri"/>
        <family val="2"/>
        <scheme val="minor"/>
      </rPr>
      <t xml:space="preserve"> CH</t>
    </r>
    <r>
      <rPr>
        <vertAlign val="subscript"/>
        <sz val="11"/>
        <color theme="1"/>
        <rFont val="Calibri"/>
        <family val="2"/>
        <scheme val="minor"/>
      </rPr>
      <t>4</t>
    </r>
    <r>
      <rPr>
        <sz val="11"/>
        <color theme="1"/>
        <rFont val="Calibri"/>
        <family val="2"/>
        <scheme val="minor"/>
      </rPr>
      <t xml:space="preserve"> kg</t>
    </r>
    <r>
      <rPr>
        <vertAlign val="superscript"/>
        <sz val="11"/>
        <color theme="1"/>
        <rFont val="Calibri"/>
        <family val="2"/>
        <scheme val="minor"/>
      </rPr>
      <t>-1</t>
    </r>
    <r>
      <rPr>
        <sz val="11"/>
        <color theme="1"/>
        <rFont val="Calibri"/>
        <family val="2"/>
        <scheme val="minor"/>
      </rPr>
      <t xml:space="preserve"> of VS excreted</t>
    </r>
  </si>
  <si>
    <t>IPCC (2019) Chapter 10: Emissions from livestock and manure management. Equation 10.23: CH4 emission factor from manure management</t>
  </si>
  <si>
    <t>Fraction of livestock's manure handled using animal waste management system</t>
  </si>
  <si>
    <t>Adults</t>
  </si>
  <si>
    <t>Juveniles 
(under 1 year)</t>
  </si>
  <si>
    <r>
      <t>Annual CH</t>
    </r>
    <r>
      <rPr>
        <b/>
        <vertAlign val="subscript"/>
        <sz val="11"/>
        <color theme="1"/>
        <rFont val="Calibri"/>
        <family val="2"/>
        <scheme val="minor"/>
      </rPr>
      <t>4</t>
    </r>
    <r>
      <rPr>
        <b/>
        <sz val="11"/>
        <color theme="1"/>
        <rFont val="Calibri"/>
        <family val="2"/>
        <scheme val="minor"/>
      </rPr>
      <t xml:space="preserve"> emission factor</t>
    </r>
  </si>
  <si>
    <r>
      <t>kg CH</t>
    </r>
    <r>
      <rPr>
        <vertAlign val="subscript"/>
        <sz val="11"/>
        <color theme="1"/>
        <rFont val="Calibri"/>
        <family val="2"/>
        <scheme val="minor"/>
      </rPr>
      <t>4</t>
    </r>
    <r>
      <rPr>
        <sz val="11"/>
        <color theme="1"/>
        <rFont val="Calibri"/>
        <family val="2"/>
        <scheme val="minor"/>
      </rPr>
      <t xml:space="preserve"> animal</t>
    </r>
    <r>
      <rPr>
        <vertAlign val="superscript"/>
        <sz val="11"/>
        <color theme="1"/>
        <rFont val="Calibri"/>
        <family val="2"/>
        <scheme val="minor"/>
      </rPr>
      <t>-1</t>
    </r>
    <r>
      <rPr>
        <sz val="11"/>
        <color theme="1"/>
        <rFont val="Calibri"/>
        <family val="2"/>
        <scheme val="minor"/>
      </rPr>
      <t xml:space="preserve"> yr</t>
    </r>
    <r>
      <rPr>
        <vertAlign val="superscript"/>
        <sz val="11"/>
        <color theme="1"/>
        <rFont val="Calibri"/>
        <family val="2"/>
        <scheme val="minor"/>
      </rPr>
      <t>-1</t>
    </r>
  </si>
  <si>
    <t>Stocking rate level</t>
  </si>
  <si>
    <t>Tier 1 enteric fermentation emissions factors</t>
  </si>
  <si>
    <t>IPCC (2019) Chapter 10: Emissions from livestock and manure management. Table 10.10: Enteric fermentation emission factors for Tier 1 method.</t>
  </si>
  <si>
    <t>Digestible energy</t>
  </si>
  <si>
    <t>Urinary energy</t>
  </si>
  <si>
    <t>Ash content</t>
  </si>
  <si>
    <t>Volatile solid excretion per day</t>
  </si>
  <si>
    <t>Urinary energy expressed as  fraction of GE</t>
  </si>
  <si>
    <t>ASH</t>
  </si>
  <si>
    <t>Estimating volatile solid excretion rates</t>
  </si>
  <si>
    <t>IPCC (2019) Chapter 10: Emissions from livestock and manure management. Equation 10.24: Volatile solid excretion rates</t>
  </si>
  <si>
    <r>
      <t>m</t>
    </r>
    <r>
      <rPr>
        <vertAlign val="superscript"/>
        <sz val="11"/>
        <color theme="1"/>
        <rFont val="Calibri"/>
        <family val="2"/>
        <scheme val="minor"/>
      </rPr>
      <t>3</t>
    </r>
    <r>
      <rPr>
        <sz val="11"/>
        <color theme="1"/>
        <rFont val="Calibri"/>
        <family val="2"/>
        <scheme val="minor"/>
      </rPr>
      <t xml:space="preserve"> CH</t>
    </r>
    <r>
      <rPr>
        <vertAlign val="subscript"/>
        <sz val="11"/>
        <color theme="1"/>
        <rFont val="Calibri"/>
        <family val="2"/>
        <scheme val="minor"/>
      </rPr>
      <t>4</t>
    </r>
    <r>
      <rPr>
        <sz val="11"/>
        <color theme="1"/>
        <rFont val="Calibri"/>
        <family val="2"/>
        <scheme val="minor"/>
      </rPr>
      <t xml:space="preserve"> kg</t>
    </r>
    <r>
      <rPr>
        <vertAlign val="superscript"/>
        <sz val="11"/>
        <color theme="1"/>
        <rFont val="Calibri"/>
        <family val="2"/>
        <scheme val="minor"/>
      </rPr>
      <t>-1</t>
    </r>
    <r>
      <rPr>
        <sz val="11"/>
        <color theme="1"/>
        <rFont val="Calibri"/>
        <family val="2"/>
        <scheme val="minor"/>
      </rPr>
      <t xml:space="preserve"> VS</t>
    </r>
  </si>
  <si>
    <t>IPCC (2019) Chapter 10: Emissions from livestock and manure management. Table 10.17: Methane conversion factors for manure management systems</t>
  </si>
  <si>
    <t>Methane conversion factors for manure management systems</t>
  </si>
  <si>
    <t>IPCC (2019) Chapter 10: Emissions from livestock and manure management. Table 10A.6: Animal waste management system (AWMS) regional averages for cattle and buffalo</t>
  </si>
  <si>
    <r>
      <t>kg VS day</t>
    </r>
    <r>
      <rPr>
        <vertAlign val="superscript"/>
        <sz val="11"/>
        <color theme="1"/>
        <rFont val="Calibri"/>
        <family val="2"/>
        <scheme val="minor"/>
      </rPr>
      <t>-1</t>
    </r>
  </si>
  <si>
    <r>
      <t>kg N feed protein (kg N)</t>
    </r>
    <r>
      <rPr>
        <vertAlign val="superscript"/>
        <sz val="11"/>
        <color theme="1"/>
        <rFont val="Calibri"/>
        <family val="2"/>
        <scheme val="minor"/>
      </rPr>
      <t>-1</t>
    </r>
  </si>
  <si>
    <t>Fraction</t>
  </si>
  <si>
    <t>IPCC (2019) Chapter 10: Emissions from livestock and manure management. Table 10.13A Default values for volatile solid excretion rate</t>
  </si>
  <si>
    <t>IPCC (2019) Chapter 10: Emissions from livestock and manure management. Equation 10.32: N intake rates for cattle, sheep and goats</t>
  </si>
  <si>
    <r>
      <t>Ne</t>
    </r>
    <r>
      <rPr>
        <vertAlign val="subscript"/>
        <sz val="11"/>
        <color theme="1"/>
        <rFont val="Calibri"/>
        <family val="2"/>
        <scheme val="minor"/>
      </rPr>
      <t>m</t>
    </r>
    <r>
      <rPr>
        <sz val="11"/>
        <color theme="1"/>
        <rFont val="Calibri"/>
        <family val="2"/>
        <scheme val="minor"/>
      </rPr>
      <t xml:space="preserve"> (Equation 10.3)</t>
    </r>
  </si>
  <si>
    <r>
      <t>Ne</t>
    </r>
    <r>
      <rPr>
        <vertAlign val="subscript"/>
        <sz val="11"/>
        <color theme="1"/>
        <rFont val="Calibri"/>
        <family val="2"/>
        <scheme val="minor"/>
      </rPr>
      <t>a</t>
    </r>
    <r>
      <rPr>
        <sz val="11"/>
        <color theme="1"/>
        <rFont val="Calibri"/>
        <family val="2"/>
        <scheme val="minor"/>
      </rPr>
      <t xml:space="preserve"> (Equations 10.4 and 10.5)</t>
    </r>
  </si>
  <si>
    <t>Ratio of net energy availability in a diet for maintenance to digestible energy (Equation 10.14)</t>
  </si>
  <si>
    <t>Ratio of net energy available for growth in a diet to digestible energy consumed (Equation 10.15)</t>
  </si>
  <si>
    <t>Gross energy intake (Equation 10.16)</t>
  </si>
  <si>
    <t>Tier 1 Enteric fermentation emissions from livestock [horses and deer] (Equation 10.19)</t>
  </si>
  <si>
    <t>Tier 2 Enteric fermentation emissions from livestock [cattle and sheep] (Equation 10.21)</t>
  </si>
  <si>
    <t>Estimating enteric fermentation (Equation 10.20)</t>
  </si>
  <si>
    <r>
      <t>Ne</t>
    </r>
    <r>
      <rPr>
        <vertAlign val="subscript"/>
        <sz val="11"/>
        <color theme="1"/>
        <rFont val="Calibri"/>
        <family val="2"/>
        <scheme val="minor"/>
      </rPr>
      <t>g</t>
    </r>
    <r>
      <rPr>
        <sz val="11"/>
        <color theme="1"/>
        <rFont val="Calibri"/>
        <family val="2"/>
        <scheme val="minor"/>
      </rPr>
      <t xml:space="preserve"> (Equations 10.6 and 10.7)</t>
    </r>
  </si>
  <si>
    <t>These use the IPCC 2019 methodology: https://www.ipcc-nggip.iges.or.jp/public/2019rf/pdf/4_Volume4/19R_V4_Ch10_Livestock.pdf</t>
  </si>
  <si>
    <r>
      <t>kg CH</t>
    </r>
    <r>
      <rPr>
        <vertAlign val="subscript"/>
        <sz val="11"/>
        <color theme="1"/>
        <rFont val="Calibri"/>
        <family val="2"/>
        <scheme val="minor"/>
      </rPr>
      <t>4</t>
    </r>
    <r>
      <rPr>
        <sz val="11"/>
        <color theme="1"/>
        <rFont val="Calibri"/>
        <family val="2"/>
        <scheme val="minor"/>
      </rPr>
      <t xml:space="preserve"> animal</t>
    </r>
    <r>
      <rPr>
        <vertAlign val="superscript"/>
        <sz val="11"/>
        <color theme="1"/>
        <rFont val="Calibri"/>
        <family val="2"/>
        <scheme val="minor"/>
      </rPr>
      <t>-1</t>
    </r>
    <r>
      <rPr>
        <sz val="11"/>
        <color theme="1"/>
        <rFont val="Calibri"/>
        <family val="2"/>
        <scheme val="minor"/>
      </rPr>
      <t xml:space="preserve"> period</t>
    </r>
    <r>
      <rPr>
        <vertAlign val="superscript"/>
        <sz val="11"/>
        <color theme="1"/>
        <rFont val="Calibri"/>
        <family val="2"/>
        <scheme val="minor"/>
      </rPr>
      <t xml:space="preserve">-1 </t>
    </r>
  </si>
  <si>
    <t>Estimating N intake - Tier 2 (Equation 10.32)</t>
  </si>
  <si>
    <t>N retention rates - Tier 2</t>
  </si>
  <si>
    <t>N excretion rates - Tier 2 (Equation 10.31)</t>
  </si>
  <si>
    <r>
      <t>kg N animal</t>
    </r>
    <r>
      <rPr>
        <vertAlign val="superscript"/>
        <sz val="11"/>
        <color theme="1"/>
        <rFont val="Calibri"/>
        <family val="2"/>
        <scheme val="minor"/>
      </rPr>
      <t>-1</t>
    </r>
    <r>
      <rPr>
        <sz val="11"/>
        <color theme="1"/>
        <rFont val="Calibri"/>
        <family val="2"/>
        <scheme val="minor"/>
      </rPr>
      <t xml:space="preserve"> period</t>
    </r>
    <r>
      <rPr>
        <vertAlign val="superscript"/>
        <sz val="11"/>
        <color theme="1"/>
        <rFont val="Calibri"/>
        <family val="2"/>
        <scheme val="minor"/>
      </rPr>
      <t>-1</t>
    </r>
  </si>
  <si>
    <t>These use the IPCC 2019 methodology, with equations taken from https://www.ipcc-nggip.iges.or.jp/public/2019rf/pdf/4_Volume4/19R_V4_Ch10_Livestock.pdf and https://www.ipcc-nggip.iges.or.jp/public/2019rf/pdf/4_Volume4/19R_V4_Ch11_Soils_N2O_CO2.pdf</t>
  </si>
  <si>
    <r>
      <t>kg N</t>
    </r>
    <r>
      <rPr>
        <vertAlign val="subscript"/>
        <sz val="11"/>
        <color theme="1"/>
        <rFont val="Calibri"/>
        <family val="2"/>
        <scheme val="minor"/>
      </rPr>
      <t>2</t>
    </r>
    <r>
      <rPr>
        <sz val="11"/>
        <color theme="1"/>
        <rFont val="Calibri"/>
        <family val="2"/>
        <scheme val="minor"/>
      </rPr>
      <t>O-N period</t>
    </r>
    <r>
      <rPr>
        <vertAlign val="superscript"/>
        <sz val="11"/>
        <color theme="1"/>
        <rFont val="Calibri"/>
        <family val="2"/>
        <scheme val="minor"/>
      </rPr>
      <t>-1</t>
    </r>
    <r>
      <rPr>
        <sz val="11"/>
        <color theme="1"/>
        <rFont val="Calibri"/>
        <family val="2"/>
        <scheme val="minor"/>
      </rPr>
      <t xml:space="preserve"> population</t>
    </r>
    <r>
      <rPr>
        <vertAlign val="superscript"/>
        <sz val="11"/>
        <color theme="1"/>
        <rFont val="Calibri"/>
        <family val="2"/>
        <scheme val="minor"/>
      </rPr>
      <t>-1</t>
    </r>
  </si>
  <si>
    <r>
      <t>Direct N</t>
    </r>
    <r>
      <rPr>
        <vertAlign val="subscript"/>
        <sz val="11"/>
        <color theme="1"/>
        <rFont val="Calibri"/>
        <family val="2"/>
        <scheme val="minor"/>
      </rPr>
      <t>2</t>
    </r>
    <r>
      <rPr>
        <sz val="11"/>
        <color theme="1"/>
        <rFont val="Calibri"/>
        <family val="2"/>
        <scheme val="minor"/>
      </rPr>
      <t>O emissions - Tier 1 (Equation 11.1)</t>
    </r>
  </si>
  <si>
    <t>Ammonia emissions - Tier 2 (Equation 11.11)</t>
  </si>
  <si>
    <t>Nitrate emissions - Tier 1 (Equation 11.10)</t>
  </si>
  <si>
    <r>
      <t>MJ animal-1 day</t>
    </r>
    <r>
      <rPr>
        <vertAlign val="superscript"/>
        <sz val="11"/>
        <color theme="1"/>
        <rFont val="Calibri"/>
        <family val="2"/>
        <scheme val="minor"/>
      </rPr>
      <t>-1</t>
    </r>
  </si>
  <si>
    <r>
      <t>MJ animal-1 day</t>
    </r>
    <r>
      <rPr>
        <vertAlign val="superscript"/>
        <sz val="11"/>
        <color theme="1"/>
        <rFont val="Calibri"/>
        <family val="2"/>
        <scheme val="minor"/>
      </rPr>
      <t>-1</t>
    </r>
    <r>
      <rPr>
        <sz val="11"/>
        <color theme="1"/>
        <rFont val="Calibri"/>
        <family val="2"/>
        <scheme val="minor"/>
      </rPr>
      <t xml:space="preserve"> kg</t>
    </r>
    <r>
      <rPr>
        <vertAlign val="superscript"/>
        <sz val="11"/>
        <color theme="1"/>
        <rFont val="Calibri"/>
        <family val="2"/>
        <scheme val="minor"/>
      </rPr>
      <t>-1</t>
    </r>
  </si>
  <si>
    <t>Estimating volatile solid excretion rates (Tier 1)</t>
  </si>
  <si>
    <t>Default VS excretion rate (Tier 2)</t>
  </si>
  <si>
    <t>IPCC (2019) Table 10.16</t>
  </si>
  <si>
    <t>Annual VS excretion rates (Tier 2)</t>
  </si>
  <si>
    <t>IPCC (2019) Table 10.13</t>
  </si>
  <si>
    <t>Default VS excretion rate (Tier 1)</t>
  </si>
  <si>
    <r>
      <t>kg VS animal</t>
    </r>
    <r>
      <rPr>
        <vertAlign val="superscript"/>
        <sz val="11"/>
        <color theme="1"/>
        <rFont val="Calibri"/>
        <family val="2"/>
        <scheme val="minor"/>
      </rPr>
      <t>-1</t>
    </r>
    <r>
      <rPr>
        <sz val="11"/>
        <color theme="1"/>
        <rFont val="Calibri"/>
        <family val="2"/>
        <scheme val="minor"/>
      </rPr>
      <t xml:space="preserve"> period</t>
    </r>
    <r>
      <rPr>
        <vertAlign val="superscript"/>
        <sz val="11"/>
        <color theme="1"/>
        <rFont val="Calibri"/>
        <family val="2"/>
        <scheme val="minor"/>
      </rPr>
      <t>-1</t>
    </r>
  </si>
  <si>
    <r>
      <t>Emission factor for direct CH</t>
    </r>
    <r>
      <rPr>
        <b/>
        <vertAlign val="subscript"/>
        <sz val="11"/>
        <color theme="1"/>
        <rFont val="Calibri"/>
        <family val="2"/>
        <scheme val="minor"/>
      </rPr>
      <t>4</t>
    </r>
    <r>
      <rPr>
        <b/>
        <sz val="11"/>
        <color theme="1"/>
        <rFont val="Calibri"/>
        <family val="2"/>
        <scheme val="minor"/>
      </rPr>
      <t xml:space="preserve"> emissions from manure management system</t>
    </r>
  </si>
  <si>
    <r>
      <t>g CH</t>
    </r>
    <r>
      <rPr>
        <vertAlign val="subscript"/>
        <sz val="11"/>
        <color theme="1"/>
        <rFont val="Calibri"/>
        <family val="2"/>
        <scheme val="minor"/>
      </rPr>
      <t>4</t>
    </r>
    <r>
      <rPr>
        <sz val="11"/>
        <color theme="1"/>
        <rFont val="Calibri"/>
        <family val="2"/>
        <scheme val="minor"/>
      </rPr>
      <t xml:space="preserve"> kg VS</t>
    </r>
    <r>
      <rPr>
        <vertAlign val="superscript"/>
        <sz val="11"/>
        <color theme="1"/>
        <rFont val="Calibri"/>
        <family val="2"/>
        <scheme val="minor"/>
      </rPr>
      <t>-1</t>
    </r>
  </si>
  <si>
    <r>
      <t>Tier 1 CH</t>
    </r>
    <r>
      <rPr>
        <b/>
        <vertAlign val="subscript"/>
        <sz val="11"/>
        <color theme="1"/>
        <rFont val="Calibri"/>
        <family val="2"/>
        <scheme val="minor"/>
      </rPr>
      <t>4</t>
    </r>
    <r>
      <rPr>
        <b/>
        <sz val="11"/>
        <color theme="1"/>
        <rFont val="Calibri"/>
        <family val="2"/>
        <scheme val="minor"/>
      </rPr>
      <t xml:space="preserve"> emissions from manure management</t>
    </r>
  </si>
  <si>
    <t>Equation</t>
  </si>
  <si>
    <t>Ratio of net energy available in a diet for maintenance to digestible energy (REM)</t>
  </si>
  <si>
    <t>Digestibility of feed  (DE)</t>
  </si>
  <si>
    <t>Animal waste management system (AWMS) regional averages for poultry and other animals</t>
  </si>
  <si>
    <r>
      <t>kg CH</t>
    </r>
    <r>
      <rPr>
        <vertAlign val="subscript"/>
        <sz val="11"/>
        <color theme="1"/>
        <rFont val="Calibri"/>
        <family val="2"/>
        <scheme val="minor"/>
      </rPr>
      <t>4</t>
    </r>
    <r>
      <rPr>
        <sz val="11"/>
        <color theme="1"/>
        <rFont val="Calibri"/>
        <family val="2"/>
        <scheme val="minor"/>
      </rPr>
      <t xml:space="preserve"> population</t>
    </r>
    <r>
      <rPr>
        <vertAlign val="superscript"/>
        <sz val="11"/>
        <color theme="1"/>
        <rFont val="Calibri"/>
        <family val="2"/>
        <scheme val="minor"/>
      </rPr>
      <t>-1</t>
    </r>
    <r>
      <rPr>
        <sz val="11"/>
        <color theme="1"/>
        <rFont val="Calibri"/>
        <family val="2"/>
        <scheme val="minor"/>
      </rPr>
      <t xml:space="preserve"> period</t>
    </r>
    <r>
      <rPr>
        <vertAlign val="superscript"/>
        <sz val="11"/>
        <color theme="1"/>
        <rFont val="Calibri"/>
        <family val="2"/>
        <scheme val="minor"/>
      </rPr>
      <t>-1</t>
    </r>
  </si>
  <si>
    <r>
      <t>Tier 2 CH</t>
    </r>
    <r>
      <rPr>
        <b/>
        <vertAlign val="subscript"/>
        <sz val="11"/>
        <color theme="1"/>
        <rFont val="Calibri"/>
        <family val="2"/>
        <scheme val="minor"/>
      </rPr>
      <t>4</t>
    </r>
    <r>
      <rPr>
        <b/>
        <sz val="11"/>
        <color theme="1"/>
        <rFont val="Calibri"/>
        <family val="2"/>
        <scheme val="minor"/>
      </rPr>
      <t xml:space="preserve"> emissions from manure management</t>
    </r>
  </si>
  <si>
    <r>
      <t>kg CH</t>
    </r>
    <r>
      <rPr>
        <vertAlign val="subscript"/>
        <sz val="11"/>
        <color theme="1"/>
        <rFont val="Calibri"/>
        <family val="2"/>
        <scheme val="minor"/>
      </rPr>
      <t>4</t>
    </r>
    <r>
      <rPr>
        <sz val="11"/>
        <color theme="1"/>
        <rFont val="Calibri"/>
        <family val="2"/>
        <scheme val="minor"/>
      </rPr>
      <t xml:space="preserve"> population</t>
    </r>
    <r>
      <rPr>
        <vertAlign val="superscript"/>
        <sz val="11"/>
        <color theme="1"/>
        <rFont val="Calibri"/>
        <family val="2"/>
        <scheme val="minor"/>
      </rPr>
      <t>-1</t>
    </r>
    <r>
      <rPr>
        <sz val="11"/>
        <color theme="1"/>
        <rFont val="Calibri"/>
        <family val="2"/>
        <scheme val="minor"/>
      </rPr>
      <t xml:space="preserve"> yr</t>
    </r>
    <r>
      <rPr>
        <vertAlign val="superscript"/>
        <sz val="11"/>
        <color theme="1"/>
        <rFont val="Calibri"/>
        <family val="2"/>
        <scheme val="minor"/>
      </rPr>
      <t>-1</t>
    </r>
  </si>
  <si>
    <r>
      <t>CH</t>
    </r>
    <r>
      <rPr>
        <b/>
        <vertAlign val="subscript"/>
        <sz val="11"/>
        <color theme="1"/>
        <rFont val="Calibri"/>
        <family val="2"/>
        <scheme val="minor"/>
      </rPr>
      <t>4</t>
    </r>
    <r>
      <rPr>
        <b/>
        <sz val="11"/>
        <color theme="1"/>
        <rFont val="Calibri"/>
        <family val="2"/>
        <scheme val="minor"/>
      </rPr>
      <t xml:space="preserve"> emissions [CH</t>
    </r>
    <r>
      <rPr>
        <b/>
        <vertAlign val="subscript"/>
        <sz val="11"/>
        <color theme="1"/>
        <rFont val="Calibri"/>
        <family val="2"/>
        <scheme val="minor"/>
      </rPr>
      <t>4</t>
    </r>
    <r>
      <rPr>
        <b/>
        <sz val="11"/>
        <color theme="1"/>
        <rFont val="Calibri"/>
        <family val="2"/>
        <scheme val="minor"/>
      </rPr>
      <t>]</t>
    </r>
  </si>
  <si>
    <r>
      <t>CH</t>
    </r>
    <r>
      <rPr>
        <b/>
        <vertAlign val="subscript"/>
        <sz val="11"/>
        <color theme="1"/>
        <rFont val="Calibri"/>
        <family val="2"/>
        <scheme val="minor"/>
      </rPr>
      <t>4</t>
    </r>
    <r>
      <rPr>
        <b/>
        <sz val="11"/>
        <color theme="1"/>
        <rFont val="Calibri"/>
        <family val="2"/>
        <scheme val="minor"/>
      </rPr>
      <t xml:space="preserve"> emissions [CO</t>
    </r>
    <r>
      <rPr>
        <b/>
        <vertAlign val="subscript"/>
        <sz val="11"/>
        <color theme="1"/>
        <rFont val="Calibri"/>
        <family val="2"/>
        <scheme val="minor"/>
      </rPr>
      <t>2</t>
    </r>
    <r>
      <rPr>
        <b/>
        <sz val="11"/>
        <color theme="1"/>
        <rFont val="Calibri"/>
        <family val="2"/>
        <scheme val="minor"/>
      </rPr>
      <t>e]</t>
    </r>
  </si>
  <si>
    <r>
      <t>CH</t>
    </r>
    <r>
      <rPr>
        <b/>
        <vertAlign val="subscript"/>
        <sz val="11"/>
        <color theme="1"/>
        <rFont val="Calibri"/>
        <family val="2"/>
        <scheme val="minor"/>
      </rPr>
      <t>4</t>
    </r>
    <r>
      <rPr>
        <b/>
        <sz val="11"/>
        <color theme="1"/>
        <rFont val="Calibri"/>
        <family val="2"/>
        <scheme val="minor"/>
      </rPr>
      <t xml:space="preserve"> emissions [CO</t>
    </r>
    <r>
      <rPr>
        <b/>
        <vertAlign val="subscript"/>
        <sz val="11"/>
        <color theme="1"/>
        <rFont val="Calibri"/>
        <family val="2"/>
        <scheme val="minor"/>
      </rPr>
      <t>2</t>
    </r>
    <r>
      <rPr>
        <b/>
        <sz val="11"/>
        <color theme="1"/>
        <rFont val="Calibri"/>
        <family val="2"/>
        <scheme val="minor"/>
      </rPr>
      <t>e ha</t>
    </r>
    <r>
      <rPr>
        <b/>
        <vertAlign val="superscript"/>
        <sz val="11"/>
        <color theme="1"/>
        <rFont val="Calibri"/>
        <family val="2"/>
        <scheme val="minor"/>
      </rPr>
      <t>-1</t>
    </r>
    <r>
      <rPr>
        <b/>
        <sz val="11"/>
        <color theme="1"/>
        <rFont val="Calibri"/>
        <family val="2"/>
        <scheme val="minor"/>
      </rPr>
      <t>]</t>
    </r>
  </si>
  <si>
    <t>Estimating volatile solid excretion rates  (Tier 2) - Equation 10.24</t>
  </si>
  <si>
    <t>Upscaling results</t>
  </si>
  <si>
    <t>Number of animals - juveniles</t>
  </si>
  <si>
    <t>Assumed weight - juvenile</t>
  </si>
  <si>
    <t>IPCC (2019) Table 10A.6</t>
  </si>
  <si>
    <t>IPCC (2019) Table 10.17</t>
  </si>
  <si>
    <t>IPCC (2019) Table 10.24</t>
  </si>
  <si>
    <t>Annual VS excretion rates (Tier 1) - Equation 10.22A</t>
  </si>
  <si>
    <r>
      <t>Estimating CH</t>
    </r>
    <r>
      <rPr>
        <vertAlign val="subscript"/>
        <sz val="11"/>
        <color theme="1"/>
        <rFont val="Calibri"/>
        <family val="2"/>
        <scheme val="minor"/>
      </rPr>
      <t>4</t>
    </r>
    <r>
      <rPr>
        <sz val="11"/>
        <color theme="1"/>
        <rFont val="Calibri"/>
        <family val="2"/>
        <scheme val="minor"/>
      </rPr>
      <t xml:space="preserve"> emission favtor from manure management (Tier 2) - Equation 10.23</t>
    </r>
  </si>
  <si>
    <t>IPCC (2019) Table 10A.4 and 10A.2</t>
  </si>
  <si>
    <t>IPCC (2019) Table 10.19</t>
  </si>
  <si>
    <t>Percent body weight in DM</t>
  </si>
  <si>
    <t>DMI</t>
  </si>
  <si>
    <t>Methane emissions factor/Enteric fermentation per individual/grazing period</t>
  </si>
  <si>
    <t>Dry Matter intake</t>
  </si>
  <si>
    <t>DMI per animal per day</t>
  </si>
  <si>
    <t>kgDMI animal-1 day-1</t>
  </si>
  <si>
    <t>Total emissions</t>
  </si>
  <si>
    <t>Estimating DMI</t>
  </si>
  <si>
    <t>Gross energy intake from DMI</t>
  </si>
  <si>
    <r>
      <t>kgDM animal</t>
    </r>
    <r>
      <rPr>
        <vertAlign val="superscript"/>
        <sz val="11"/>
        <color theme="1"/>
        <rFont val="Calibri"/>
        <family val="2"/>
        <scheme val="minor"/>
      </rPr>
      <t>-1</t>
    </r>
    <r>
      <rPr>
        <sz val="11"/>
        <color theme="1"/>
        <rFont val="Calibri"/>
        <family val="2"/>
        <scheme val="minor"/>
      </rPr>
      <t xml:space="preserve"> day</t>
    </r>
    <r>
      <rPr>
        <vertAlign val="superscript"/>
        <sz val="11"/>
        <color theme="1"/>
        <rFont val="Calibri"/>
        <family val="2"/>
        <scheme val="minor"/>
      </rPr>
      <t>-1</t>
    </r>
  </si>
  <si>
    <t>All of the manure uses the same system</t>
  </si>
  <si>
    <r>
      <t>Annual average N excretion per head (N</t>
    </r>
    <r>
      <rPr>
        <b/>
        <vertAlign val="subscript"/>
        <sz val="11"/>
        <color theme="1"/>
        <rFont val="Calibri"/>
        <family val="2"/>
        <scheme val="minor"/>
      </rPr>
      <t>ex</t>
    </r>
    <r>
      <rPr>
        <b/>
        <sz val="11"/>
        <color theme="1"/>
        <rFont val="Calibri"/>
        <family val="2"/>
        <scheme val="minor"/>
      </rPr>
      <t>)</t>
    </r>
  </si>
  <si>
    <t>Default N excretion rate</t>
  </si>
  <si>
    <r>
      <t xml:space="preserve"> kg N (1000 kg animal mass)</t>
    </r>
    <r>
      <rPr>
        <vertAlign val="superscript"/>
        <sz val="11"/>
        <color theme="1"/>
        <rFont val="Calibri"/>
        <family val="2"/>
        <scheme val="minor"/>
      </rPr>
      <t>-1</t>
    </r>
    <r>
      <rPr>
        <sz val="11"/>
        <color theme="1"/>
        <rFont val="Calibri"/>
        <family val="2"/>
        <scheme val="minor"/>
      </rPr>
      <t xml:space="preserve"> day</t>
    </r>
    <r>
      <rPr>
        <vertAlign val="superscript"/>
        <sz val="11"/>
        <color theme="1"/>
        <rFont val="Calibri"/>
        <family val="2"/>
        <scheme val="minor"/>
      </rPr>
      <t>-1</t>
    </r>
  </si>
  <si>
    <t>Fraction of total annual nitrogen excretion for each livestock species/category T that is managed in manure management system S</t>
  </si>
  <si>
    <r>
      <t>kg N</t>
    </r>
    <r>
      <rPr>
        <vertAlign val="subscript"/>
        <sz val="11"/>
        <color theme="1"/>
        <rFont val="Calibri"/>
        <family val="2"/>
        <scheme val="minor"/>
      </rPr>
      <t>2</t>
    </r>
    <r>
      <rPr>
        <sz val="11"/>
        <color theme="1"/>
        <rFont val="Calibri"/>
        <family val="2"/>
        <scheme val="minor"/>
      </rPr>
      <t>O-N/kg N</t>
    </r>
  </si>
  <si>
    <r>
      <t>Emission factor for direct N</t>
    </r>
    <r>
      <rPr>
        <b/>
        <vertAlign val="subscript"/>
        <sz val="11"/>
        <color theme="1"/>
        <rFont val="Calibri"/>
        <family val="2"/>
        <scheme val="minor"/>
      </rPr>
      <t>2</t>
    </r>
    <r>
      <rPr>
        <b/>
        <sz val="11"/>
        <color theme="1"/>
        <rFont val="Calibri"/>
        <family val="2"/>
        <scheme val="minor"/>
      </rPr>
      <t>O emissions from manure management system</t>
    </r>
  </si>
  <si>
    <r>
      <t>Direct N</t>
    </r>
    <r>
      <rPr>
        <b/>
        <vertAlign val="subscript"/>
        <sz val="11"/>
        <color theme="1"/>
        <rFont val="Calibri"/>
        <family val="2"/>
        <scheme val="minor"/>
      </rPr>
      <t>2</t>
    </r>
    <r>
      <rPr>
        <b/>
        <sz val="11"/>
        <color theme="1"/>
        <rFont val="Calibri"/>
        <family val="2"/>
        <scheme val="minor"/>
      </rPr>
      <t>O emissions from manure management</t>
    </r>
  </si>
  <si>
    <r>
      <t>Direct N</t>
    </r>
    <r>
      <rPr>
        <vertAlign val="subscript"/>
        <sz val="11"/>
        <color theme="1"/>
        <rFont val="Calibri"/>
        <family val="2"/>
        <scheme val="minor"/>
      </rPr>
      <t>2</t>
    </r>
    <r>
      <rPr>
        <sz val="11"/>
        <color theme="1"/>
        <rFont val="Calibri"/>
        <family val="2"/>
        <scheme val="minor"/>
      </rPr>
      <t>O emissions from manure management - Tier 1 (Equation 10.25)</t>
    </r>
  </si>
  <si>
    <t>Annual N excretion rates - Tier 1 (Equation 10.30)</t>
  </si>
  <si>
    <t>IPCC (2019) Table 11.1</t>
  </si>
  <si>
    <t>IPCC (2019) Table 11.19</t>
  </si>
  <si>
    <r>
      <t>Grazing total indirect N</t>
    </r>
    <r>
      <rPr>
        <b/>
        <vertAlign val="subscript"/>
        <sz val="11"/>
        <color theme="0"/>
        <rFont val="Calibri"/>
        <family val="2"/>
        <scheme val="minor"/>
      </rPr>
      <t>2</t>
    </r>
    <r>
      <rPr>
        <b/>
        <sz val="11"/>
        <color theme="0"/>
        <rFont val="Calibri"/>
        <family val="2"/>
        <scheme val="minor"/>
      </rPr>
      <t>O emission</t>
    </r>
  </si>
  <si>
    <r>
      <t>tonnes CH</t>
    </r>
    <r>
      <rPr>
        <vertAlign val="subscript"/>
        <sz val="11"/>
        <color theme="1"/>
        <rFont val="Calibri"/>
        <family val="2"/>
        <scheme val="minor"/>
      </rPr>
      <t>4</t>
    </r>
    <r>
      <rPr>
        <sz val="11"/>
        <color theme="1"/>
        <rFont val="Calibri"/>
        <family val="2"/>
        <scheme val="minor"/>
      </rPr>
      <t xml:space="preserve"> period</t>
    </r>
    <r>
      <rPr>
        <vertAlign val="superscript"/>
        <sz val="11"/>
        <color theme="1"/>
        <rFont val="Calibri"/>
        <family val="2"/>
        <scheme val="minor"/>
      </rPr>
      <t>-1</t>
    </r>
  </si>
  <si>
    <r>
      <t>tonnes CO</t>
    </r>
    <r>
      <rPr>
        <vertAlign val="subscript"/>
        <sz val="11"/>
        <color theme="1"/>
        <rFont val="Calibri"/>
        <family val="2"/>
        <scheme val="minor"/>
      </rPr>
      <t>2</t>
    </r>
    <r>
      <rPr>
        <sz val="11"/>
        <color theme="1"/>
        <rFont val="Calibri"/>
        <family val="2"/>
        <scheme val="minor"/>
      </rPr>
      <t>-eq period</t>
    </r>
    <r>
      <rPr>
        <vertAlign val="superscript"/>
        <sz val="11"/>
        <color theme="1"/>
        <rFont val="Calibri"/>
        <family val="2"/>
        <scheme val="minor"/>
      </rPr>
      <t>-1</t>
    </r>
  </si>
  <si>
    <r>
      <t>tonnes CO</t>
    </r>
    <r>
      <rPr>
        <vertAlign val="subscript"/>
        <sz val="11"/>
        <color theme="1"/>
        <rFont val="Calibri"/>
        <family val="2"/>
        <scheme val="minor"/>
      </rPr>
      <t>2</t>
    </r>
    <r>
      <rPr>
        <sz val="11"/>
        <color theme="1"/>
        <rFont val="Calibri"/>
        <family val="2"/>
        <scheme val="minor"/>
      </rPr>
      <t>-eq ha</t>
    </r>
    <r>
      <rPr>
        <vertAlign val="superscript"/>
        <sz val="11"/>
        <color theme="1"/>
        <rFont val="Calibri"/>
        <family val="2"/>
        <scheme val="minor"/>
      </rPr>
      <t>-1</t>
    </r>
    <r>
      <rPr>
        <sz val="11"/>
        <color theme="1"/>
        <rFont val="Calibri"/>
        <family val="2"/>
        <scheme val="minor"/>
      </rPr>
      <t xml:space="preserve"> period</t>
    </r>
    <r>
      <rPr>
        <vertAlign val="superscript"/>
        <sz val="11"/>
        <color theme="1"/>
        <rFont val="Calibri"/>
        <family val="2"/>
        <scheme val="minor"/>
      </rPr>
      <t>-1</t>
    </r>
  </si>
  <si>
    <r>
      <t>tonnes CH</t>
    </r>
    <r>
      <rPr>
        <vertAlign val="subscript"/>
        <sz val="11"/>
        <color theme="1"/>
        <rFont val="Calibri"/>
        <family val="2"/>
        <scheme val="minor"/>
      </rPr>
      <t>4</t>
    </r>
    <r>
      <rPr>
        <sz val="11"/>
        <color theme="1"/>
        <rFont val="Calibri"/>
        <family val="2"/>
        <scheme val="minor"/>
      </rPr>
      <t xml:space="preserve"> population</t>
    </r>
    <r>
      <rPr>
        <vertAlign val="superscript"/>
        <sz val="11"/>
        <color theme="1"/>
        <rFont val="Calibri"/>
        <family val="2"/>
        <scheme val="minor"/>
      </rPr>
      <t>-1</t>
    </r>
    <r>
      <rPr>
        <sz val="11"/>
        <color theme="1"/>
        <rFont val="Calibri"/>
        <family val="2"/>
        <scheme val="minor"/>
      </rPr>
      <t xml:space="preserve"> yr</t>
    </r>
    <r>
      <rPr>
        <vertAlign val="superscript"/>
        <sz val="11"/>
        <color theme="1"/>
        <rFont val="Calibri"/>
        <family val="2"/>
        <scheme val="minor"/>
      </rPr>
      <t>-1</t>
    </r>
  </si>
  <si>
    <t>tonnes CO2e population-1 yr-1</t>
  </si>
  <si>
    <r>
      <t>tonnes CO</t>
    </r>
    <r>
      <rPr>
        <vertAlign val="subscript"/>
        <sz val="11"/>
        <color theme="1"/>
        <rFont val="Calibri"/>
        <family val="2"/>
        <scheme val="minor"/>
      </rPr>
      <t>2</t>
    </r>
    <r>
      <rPr>
        <sz val="11"/>
        <color theme="1"/>
        <rFont val="Calibri"/>
        <family val="2"/>
        <scheme val="minor"/>
      </rPr>
      <t>e population</t>
    </r>
    <r>
      <rPr>
        <vertAlign val="superscript"/>
        <sz val="11"/>
        <color theme="1"/>
        <rFont val="Calibri"/>
        <family val="2"/>
        <scheme val="minor"/>
      </rPr>
      <t>-1</t>
    </r>
    <r>
      <rPr>
        <sz val="11"/>
        <color theme="1"/>
        <rFont val="Calibri"/>
        <family val="2"/>
        <scheme val="minor"/>
      </rPr>
      <t xml:space="preserve"> ha</t>
    </r>
    <r>
      <rPr>
        <vertAlign val="superscript"/>
        <sz val="11"/>
        <color theme="1"/>
        <rFont val="Calibri"/>
        <family val="2"/>
        <scheme val="minor"/>
      </rPr>
      <t>-1</t>
    </r>
    <r>
      <rPr>
        <sz val="11"/>
        <color theme="1"/>
        <rFont val="Calibri"/>
        <family val="2"/>
        <scheme val="minor"/>
      </rPr>
      <t xml:space="preserve"> yr</t>
    </r>
    <r>
      <rPr>
        <vertAlign val="superscript"/>
        <sz val="11"/>
        <color theme="1"/>
        <rFont val="Calibri"/>
        <family val="2"/>
        <scheme val="minor"/>
      </rPr>
      <t>-1</t>
    </r>
  </si>
  <si>
    <r>
      <t>tonnes N</t>
    </r>
    <r>
      <rPr>
        <vertAlign val="subscript"/>
        <sz val="11"/>
        <color theme="1"/>
        <rFont val="Calibri"/>
        <family val="2"/>
        <scheme val="minor"/>
      </rPr>
      <t>2</t>
    </r>
    <r>
      <rPr>
        <sz val="11"/>
        <color theme="1"/>
        <rFont val="Calibri"/>
        <family val="2"/>
        <scheme val="minor"/>
      </rPr>
      <t>O-N period</t>
    </r>
    <r>
      <rPr>
        <vertAlign val="superscript"/>
        <sz val="11"/>
        <color theme="1"/>
        <rFont val="Calibri"/>
        <family val="2"/>
        <scheme val="minor"/>
      </rPr>
      <t>-1</t>
    </r>
    <r>
      <rPr>
        <sz val="11"/>
        <color theme="1"/>
        <rFont val="Calibri"/>
        <family val="2"/>
        <scheme val="minor"/>
      </rPr>
      <t xml:space="preserve"> population</t>
    </r>
    <r>
      <rPr>
        <vertAlign val="superscript"/>
        <sz val="11"/>
        <color theme="1"/>
        <rFont val="Calibri"/>
        <family val="2"/>
        <scheme val="minor"/>
      </rPr>
      <t>-1</t>
    </r>
  </si>
  <si>
    <r>
      <t>tonnes N</t>
    </r>
    <r>
      <rPr>
        <vertAlign val="subscript"/>
        <sz val="11"/>
        <color theme="1"/>
        <rFont val="Calibri"/>
        <family val="2"/>
        <scheme val="minor"/>
      </rPr>
      <t>2</t>
    </r>
    <r>
      <rPr>
        <sz val="11"/>
        <color theme="1"/>
        <rFont val="Calibri"/>
        <family val="2"/>
        <scheme val="minor"/>
      </rPr>
      <t>O period</t>
    </r>
    <r>
      <rPr>
        <vertAlign val="superscript"/>
        <sz val="11"/>
        <color theme="1"/>
        <rFont val="Calibri"/>
        <family val="2"/>
        <scheme val="minor"/>
      </rPr>
      <t>-1</t>
    </r>
    <r>
      <rPr>
        <sz val="11"/>
        <color theme="1"/>
        <rFont val="Calibri"/>
        <family val="2"/>
        <scheme val="minor"/>
      </rPr>
      <t xml:space="preserve"> population</t>
    </r>
    <r>
      <rPr>
        <vertAlign val="superscript"/>
        <sz val="11"/>
        <color theme="1"/>
        <rFont val="Calibri"/>
        <family val="2"/>
        <scheme val="minor"/>
      </rPr>
      <t>-1</t>
    </r>
  </si>
  <si>
    <r>
      <t>tonnes CO</t>
    </r>
    <r>
      <rPr>
        <vertAlign val="subscript"/>
        <sz val="11"/>
        <color theme="1"/>
        <rFont val="Calibri"/>
        <family val="2"/>
        <scheme val="minor"/>
      </rPr>
      <t>2</t>
    </r>
    <r>
      <rPr>
        <sz val="11"/>
        <color theme="1"/>
        <rFont val="Calibri"/>
        <family val="2"/>
        <scheme val="minor"/>
      </rPr>
      <t>-eq period</t>
    </r>
    <r>
      <rPr>
        <vertAlign val="superscript"/>
        <sz val="11"/>
        <color theme="1"/>
        <rFont val="Calibri"/>
        <family val="2"/>
        <scheme val="minor"/>
      </rPr>
      <t>-1</t>
    </r>
    <r>
      <rPr>
        <sz val="11"/>
        <color theme="1"/>
        <rFont val="Calibri"/>
        <family val="2"/>
        <scheme val="minor"/>
      </rPr>
      <t xml:space="preserve"> population</t>
    </r>
    <r>
      <rPr>
        <vertAlign val="superscript"/>
        <sz val="11"/>
        <color theme="1"/>
        <rFont val="Calibri"/>
        <family val="2"/>
        <scheme val="minor"/>
      </rPr>
      <t>-1</t>
    </r>
  </si>
  <si>
    <r>
      <t>tonnes CO</t>
    </r>
    <r>
      <rPr>
        <vertAlign val="subscript"/>
        <sz val="11"/>
        <color theme="1"/>
        <rFont val="Calibri"/>
        <family val="2"/>
        <scheme val="minor"/>
      </rPr>
      <t>2</t>
    </r>
    <r>
      <rPr>
        <sz val="11"/>
        <color theme="1"/>
        <rFont val="Calibri"/>
        <family val="2"/>
        <scheme val="minor"/>
      </rPr>
      <t>-eq period</t>
    </r>
    <r>
      <rPr>
        <vertAlign val="superscript"/>
        <sz val="11"/>
        <color theme="1"/>
        <rFont val="Calibri"/>
        <family val="2"/>
        <scheme val="minor"/>
      </rPr>
      <t>-1</t>
    </r>
    <r>
      <rPr>
        <sz val="11"/>
        <color theme="1"/>
        <rFont val="Calibri"/>
        <family val="2"/>
        <scheme val="minor"/>
      </rPr>
      <t xml:space="preserve"> population</t>
    </r>
    <r>
      <rPr>
        <vertAlign val="superscript"/>
        <sz val="11"/>
        <color theme="1"/>
        <rFont val="Calibri"/>
        <family val="2"/>
        <scheme val="minor"/>
      </rPr>
      <t>-1</t>
    </r>
    <r>
      <rPr>
        <sz val="11"/>
        <color theme="1"/>
        <rFont val="Calibri"/>
        <family val="2"/>
        <scheme val="minor"/>
      </rPr>
      <t xml:space="preserve"> ha</t>
    </r>
    <r>
      <rPr>
        <vertAlign val="superscript"/>
        <sz val="11"/>
        <color theme="1"/>
        <rFont val="Calibri"/>
        <family val="2"/>
        <scheme val="minor"/>
      </rPr>
      <t>-1</t>
    </r>
  </si>
  <si>
    <t>Total</t>
  </si>
  <si>
    <t>All species</t>
  </si>
  <si>
    <r>
      <t>kg CH</t>
    </r>
    <r>
      <rPr>
        <vertAlign val="subscript"/>
        <sz val="11"/>
        <color theme="1"/>
        <rFont val="Calibri"/>
        <family val="2"/>
        <scheme val="minor"/>
      </rPr>
      <t>4</t>
    </r>
    <r>
      <rPr>
        <sz val="11"/>
        <color theme="1"/>
        <rFont val="Calibri"/>
        <family val="2"/>
        <scheme val="minor"/>
      </rPr>
      <t xml:space="preserve"> animals</t>
    </r>
    <r>
      <rPr>
        <vertAlign val="superscript"/>
        <sz val="11"/>
        <color theme="1"/>
        <rFont val="Calibri"/>
        <family val="2"/>
        <scheme val="minor"/>
      </rPr>
      <t>-1</t>
    </r>
    <r>
      <rPr>
        <sz val="11"/>
        <color theme="1"/>
        <rFont val="Calibri"/>
        <family val="2"/>
        <scheme val="minor"/>
      </rPr>
      <t xml:space="preserve"> period</t>
    </r>
    <r>
      <rPr>
        <vertAlign val="superscript"/>
        <sz val="11"/>
        <color theme="1"/>
        <rFont val="Calibri"/>
        <family val="2"/>
        <scheme val="minor"/>
      </rPr>
      <t xml:space="preserve">-1 </t>
    </r>
  </si>
  <si>
    <t>Methane 
(enteric and manures)</t>
  </si>
  <si>
    <t>Nitrous oxide 
(manures)</t>
  </si>
  <si>
    <t>Proportion of one year 
spent grazing (%)</t>
  </si>
  <si>
    <t>Typical livestock units for management approach</t>
  </si>
  <si>
    <t>How many hectares of land do you graze?</t>
  </si>
  <si>
    <t>Energy usage (for Nea)</t>
  </si>
  <si>
    <t>Biodiversity goals - livestock units</t>
  </si>
  <si>
    <t>Conservation grazing GHG emissions tool</t>
  </si>
  <si>
    <t>The tool estimates:</t>
  </si>
  <si>
    <t>- The GHG emissions from the livestock being used for conservation grazing.</t>
  </si>
  <si>
    <t>- The number of livestock units the animals take up.</t>
  </si>
  <si>
    <t>- Whether the livestock units are providing restoration, maintenance or maximum grazing.</t>
  </si>
  <si>
    <t>Area</t>
  </si>
  <si>
    <t>Crude protein content</t>
  </si>
  <si>
    <t>Soil carbon stock</t>
  </si>
  <si>
    <t>Depth of soil profile</t>
  </si>
  <si>
    <r>
      <t>(t C ha</t>
    </r>
    <r>
      <rPr>
        <b/>
        <vertAlign val="superscript"/>
        <sz val="11"/>
        <rFont val="Calibri"/>
        <family val="2"/>
        <scheme val="minor"/>
      </rPr>
      <t>-1</t>
    </r>
    <r>
      <rPr>
        <b/>
        <sz val="11"/>
        <rFont val="Calibri"/>
        <family val="2"/>
        <scheme val="minor"/>
      </rPr>
      <t>)</t>
    </r>
  </si>
  <si>
    <t>(m)</t>
  </si>
  <si>
    <r>
      <t>(t CO</t>
    </r>
    <r>
      <rPr>
        <b/>
        <vertAlign val="subscript"/>
        <sz val="11"/>
        <rFont val="Calibri"/>
        <family val="2"/>
        <scheme val="minor"/>
      </rPr>
      <t>2</t>
    </r>
    <r>
      <rPr>
        <b/>
        <sz val="11"/>
        <rFont val="Calibri"/>
        <family val="2"/>
        <scheme val="minor"/>
      </rPr>
      <t>e ha</t>
    </r>
    <r>
      <rPr>
        <b/>
        <vertAlign val="superscript"/>
        <sz val="11"/>
        <rFont val="Calibri"/>
        <family val="2"/>
        <scheme val="minor"/>
      </rPr>
      <t xml:space="preserve">-1 </t>
    </r>
    <r>
      <rPr>
        <b/>
        <sz val="11"/>
        <rFont val="Calibri"/>
        <family val="2"/>
        <scheme val="minor"/>
      </rPr>
      <t>yr</t>
    </r>
    <r>
      <rPr>
        <b/>
        <vertAlign val="superscript"/>
        <sz val="11"/>
        <rFont val="Calibri"/>
        <family val="2"/>
        <scheme val="minor"/>
      </rPr>
      <t>-1</t>
    </r>
    <r>
      <rPr>
        <b/>
        <sz val="11"/>
        <rFont val="Calibri"/>
        <family val="2"/>
        <scheme val="minor"/>
      </rPr>
      <t>)</t>
    </r>
  </si>
  <si>
    <t>0 - 0.15</t>
  </si>
  <si>
    <t>0 - 0.3</t>
  </si>
  <si>
    <t>0 - 2</t>
  </si>
  <si>
    <t>0 - 3.8</t>
  </si>
  <si>
    <t>Natural England (2021) Carbon storage and sequestration by habitat: a review of the evidence (second edition) v2.1</t>
  </si>
  <si>
    <t xml:space="preserve"> </t>
  </si>
  <si>
    <t>No data</t>
  </si>
  <si>
    <t>Carbon stocks and sequestration</t>
  </si>
  <si>
    <t>Above ground carbon stock</t>
  </si>
  <si>
    <t>Soil carbon stock total</t>
  </si>
  <si>
    <t>(t C)</t>
  </si>
  <si>
    <r>
      <t>(t C ha</t>
    </r>
    <r>
      <rPr>
        <vertAlign val="superscript"/>
        <sz val="11"/>
        <color theme="1"/>
        <rFont val="Calibri"/>
        <family val="2"/>
        <scheme val="minor"/>
      </rPr>
      <t>-1</t>
    </r>
    <r>
      <rPr>
        <sz val="11"/>
        <color theme="1"/>
        <rFont val="Calibri"/>
        <family val="2"/>
        <scheme val="minor"/>
      </rPr>
      <t>)</t>
    </r>
  </si>
  <si>
    <t>Vegetation carbon stock</t>
  </si>
  <si>
    <t>Vegetation carbon stock total</t>
  </si>
  <si>
    <t>Total carbon stock</t>
  </si>
  <si>
    <r>
      <t>(t CO</t>
    </r>
    <r>
      <rPr>
        <vertAlign val="subscript"/>
        <sz val="11"/>
        <color theme="1"/>
        <rFont val="Calibri"/>
        <family val="2"/>
        <scheme val="minor"/>
      </rPr>
      <t>2</t>
    </r>
    <r>
      <rPr>
        <sz val="11"/>
        <color theme="1"/>
        <rFont val="Calibri"/>
        <family val="2"/>
        <scheme val="minor"/>
      </rPr>
      <t>e ha</t>
    </r>
    <r>
      <rPr>
        <vertAlign val="superscript"/>
        <sz val="11"/>
        <color theme="1"/>
        <rFont val="Calibri"/>
        <family val="2"/>
        <scheme val="minor"/>
      </rPr>
      <t>-1</t>
    </r>
    <r>
      <rPr>
        <sz val="11"/>
        <color theme="1"/>
        <rFont val="Calibri"/>
        <family val="2"/>
        <scheme val="minor"/>
      </rPr>
      <t xml:space="preserve"> yr</t>
    </r>
    <r>
      <rPr>
        <vertAlign val="superscript"/>
        <sz val="11"/>
        <color theme="1"/>
        <rFont val="Calibri"/>
        <family val="2"/>
        <scheme val="minor"/>
      </rPr>
      <t>-1</t>
    </r>
    <r>
      <rPr>
        <sz val="11"/>
        <color theme="1"/>
        <rFont val="Calibri"/>
        <family val="2"/>
        <scheme val="minor"/>
      </rPr>
      <t>)</t>
    </r>
  </si>
  <si>
    <r>
      <t>(t CO</t>
    </r>
    <r>
      <rPr>
        <vertAlign val="subscript"/>
        <sz val="11"/>
        <color theme="1"/>
        <rFont val="Calibri"/>
        <family val="2"/>
        <scheme val="minor"/>
      </rPr>
      <t>2</t>
    </r>
    <r>
      <rPr>
        <sz val="11"/>
        <color theme="1"/>
        <rFont val="Calibri"/>
        <family val="2"/>
        <scheme val="minor"/>
      </rPr>
      <t>e yr</t>
    </r>
    <r>
      <rPr>
        <vertAlign val="superscript"/>
        <sz val="11"/>
        <color theme="1"/>
        <rFont val="Calibri"/>
        <family val="2"/>
        <scheme val="minor"/>
      </rPr>
      <t>-1</t>
    </r>
    <r>
      <rPr>
        <sz val="11"/>
        <color theme="1"/>
        <rFont val="Calibri"/>
        <family val="2"/>
        <scheme val="minor"/>
      </rPr>
      <t>)</t>
    </r>
  </si>
  <si>
    <t>(ha)</t>
  </si>
  <si>
    <t>(tonnes C)</t>
  </si>
  <si>
    <t>Depth of soil carbon stock</t>
  </si>
  <si>
    <t>Habitat storage, sequestration and emissions</t>
  </si>
  <si>
    <t>There is large uncertainty around the results on this page based on limited data.</t>
  </si>
  <si>
    <t>Coefficients for calculating net energy for activity (Nea)</t>
  </si>
  <si>
    <t>Coefficients for calculating net energy for maintenance (Nem)</t>
  </si>
  <si>
    <t>Livestock emissions</t>
  </si>
  <si>
    <t>Habitat carbon stocks</t>
  </si>
  <si>
    <t>High</t>
  </si>
  <si>
    <t>Low</t>
  </si>
  <si>
    <t>IPCC (2019) Chapter 10: Emissions from livestock and manure management. Equation 10.6: Net energy for growth for cattle and buffalo and IPCC (2019) Chapter 10: Emissions from livestock and manure management. Table 10.6 (Updated) constants for use in calculating Neg for sheep and goats</t>
  </si>
  <si>
    <t>IPCC (2019) Chapter 10: Emissions from livestock and manure management. Table 10.12 (updated) cattle/buffalo methane conversion factors (Ym) and IPCC (2019) Chapter 10: Emissions from livestock and manure management. Table 10.13 (updated) sheep and goats CH4 conversion factors (Ym)</t>
  </si>
  <si>
    <t>Coefficient for calculating net energy for growth (Neg)</t>
  </si>
  <si>
    <r>
      <t>kg CH</t>
    </r>
    <r>
      <rPr>
        <vertAlign val="subscript"/>
        <sz val="11"/>
        <rFont val="Calibri"/>
        <family val="2"/>
        <scheme val="minor"/>
      </rPr>
      <t>4</t>
    </r>
    <r>
      <rPr>
        <sz val="11"/>
        <rFont val="Calibri"/>
        <family val="2"/>
        <scheme val="minor"/>
      </rPr>
      <t xml:space="preserve"> animal</t>
    </r>
    <r>
      <rPr>
        <vertAlign val="superscript"/>
        <sz val="11"/>
        <rFont val="Calibri"/>
        <family val="2"/>
        <scheme val="minor"/>
      </rPr>
      <t>-1</t>
    </r>
    <r>
      <rPr>
        <sz val="11"/>
        <rFont val="Calibri"/>
        <family val="2"/>
        <scheme val="minor"/>
      </rPr>
      <t xml:space="preserve"> yr</t>
    </r>
    <r>
      <rPr>
        <vertAlign val="superscript"/>
        <sz val="11"/>
        <rFont val="Calibri"/>
        <family val="2"/>
        <scheme val="minor"/>
      </rPr>
      <t>-1</t>
    </r>
  </si>
  <si>
    <r>
      <t>MJ day</t>
    </r>
    <r>
      <rPr>
        <vertAlign val="superscript"/>
        <sz val="11"/>
        <rFont val="Calibri"/>
        <family val="2"/>
        <scheme val="minor"/>
      </rPr>
      <t>-1</t>
    </r>
    <r>
      <rPr>
        <sz val="11"/>
        <rFont val="Calibri"/>
        <family val="2"/>
        <scheme val="minor"/>
      </rPr>
      <t xml:space="preserve"> kg</t>
    </r>
    <r>
      <rPr>
        <vertAlign val="superscript"/>
        <sz val="11"/>
        <rFont val="Calibri"/>
        <family val="2"/>
        <scheme val="minor"/>
      </rPr>
      <t>-1</t>
    </r>
  </si>
  <si>
    <r>
      <t>Dimensionless/MJ day</t>
    </r>
    <r>
      <rPr>
        <vertAlign val="superscript"/>
        <sz val="11"/>
        <rFont val="Calibri"/>
        <family val="2"/>
        <scheme val="minor"/>
      </rPr>
      <t>-1</t>
    </r>
    <r>
      <rPr>
        <sz val="11"/>
        <rFont val="Calibri"/>
        <family val="2"/>
        <scheme val="minor"/>
      </rPr>
      <t xml:space="preserve"> kg</t>
    </r>
    <r>
      <rPr>
        <vertAlign val="superscript"/>
        <sz val="11"/>
        <rFont val="Calibri"/>
        <family val="2"/>
        <scheme val="minor"/>
      </rPr>
      <t>-1</t>
    </r>
    <r>
      <rPr>
        <sz val="11"/>
        <rFont val="Calibri"/>
        <family val="2"/>
        <scheme val="minor"/>
      </rPr>
      <t xml:space="preserve"> for sheep</t>
    </r>
  </si>
  <si>
    <r>
      <t>kg VS (1000 kg animal mass)</t>
    </r>
    <r>
      <rPr>
        <vertAlign val="superscript"/>
        <sz val="11"/>
        <rFont val="Calibri"/>
        <family val="2"/>
        <scheme val="minor"/>
      </rPr>
      <t>-1</t>
    </r>
    <r>
      <rPr>
        <sz val="11"/>
        <rFont val="Calibri"/>
        <family val="2"/>
        <scheme val="minor"/>
      </rPr>
      <t xml:space="preserve"> day</t>
    </r>
    <r>
      <rPr>
        <vertAlign val="superscript"/>
        <sz val="11"/>
        <rFont val="Calibri"/>
        <family val="2"/>
        <scheme val="minor"/>
      </rPr>
      <t>-1</t>
    </r>
  </si>
  <si>
    <r>
      <t>m</t>
    </r>
    <r>
      <rPr>
        <vertAlign val="superscript"/>
        <sz val="11"/>
        <rFont val="Calibri"/>
        <family val="2"/>
        <scheme val="minor"/>
      </rPr>
      <t>3</t>
    </r>
    <r>
      <rPr>
        <sz val="11"/>
        <rFont val="Calibri"/>
        <family val="2"/>
        <scheme val="minor"/>
      </rPr>
      <t xml:space="preserve"> CH</t>
    </r>
    <r>
      <rPr>
        <vertAlign val="subscript"/>
        <sz val="11"/>
        <rFont val="Calibri"/>
        <family val="2"/>
        <scheme val="minor"/>
      </rPr>
      <t>4</t>
    </r>
    <r>
      <rPr>
        <sz val="11"/>
        <rFont val="Calibri"/>
        <family val="2"/>
        <scheme val="minor"/>
      </rPr>
      <t xml:space="preserve"> kg</t>
    </r>
    <r>
      <rPr>
        <vertAlign val="superscript"/>
        <sz val="11"/>
        <rFont val="Calibri"/>
        <family val="2"/>
        <scheme val="minor"/>
      </rPr>
      <t>-1</t>
    </r>
    <r>
      <rPr>
        <sz val="11"/>
        <rFont val="Calibri"/>
        <family val="2"/>
        <scheme val="minor"/>
      </rPr>
      <t xml:space="preserve"> VS</t>
    </r>
  </si>
  <si>
    <r>
      <t>kg N (1000 kg animal mass)</t>
    </r>
    <r>
      <rPr>
        <vertAlign val="superscript"/>
        <sz val="11"/>
        <rFont val="Calibri"/>
        <family val="2"/>
        <scheme val="minor"/>
      </rPr>
      <t>-1</t>
    </r>
    <r>
      <rPr>
        <sz val="11"/>
        <rFont val="Calibri"/>
        <family val="2"/>
        <scheme val="minor"/>
      </rPr>
      <t xml:space="preserve"> day</t>
    </r>
    <r>
      <rPr>
        <vertAlign val="superscript"/>
        <sz val="11"/>
        <rFont val="Calibri"/>
        <family val="2"/>
        <scheme val="minor"/>
      </rPr>
      <t>-1</t>
    </r>
  </si>
  <si>
    <r>
      <t>IPCC (2019) Chapter 10: Emissions from livestock and manure management. Table 10.16: Default values for maximum methane producing capacity (B</t>
    </r>
    <r>
      <rPr>
        <vertAlign val="subscript"/>
        <sz val="11"/>
        <rFont val="Calibri"/>
        <family val="2"/>
        <scheme val="minor"/>
      </rPr>
      <t>0</t>
    </r>
    <r>
      <rPr>
        <sz val="11"/>
        <rFont val="Calibri"/>
        <family val="2"/>
        <scheme val="minor"/>
      </rPr>
      <t>)</t>
    </r>
  </si>
  <si>
    <t>Factors for methane calculations</t>
  </si>
  <si>
    <t>AHDB (2016) Stocktake Report 2016. KPI from SDA beeding stock</t>
  </si>
  <si>
    <t>AHDB (2016) Stocktake Report 2016. KPI from SDA suckler herds</t>
  </si>
  <si>
    <t>DM consumption adult</t>
  </si>
  <si>
    <t xml:space="preserve"> (average kgDM/day)</t>
  </si>
  <si>
    <t>DM consumption juvenile</t>
  </si>
  <si>
    <r>
      <t>N</t>
    </r>
    <r>
      <rPr>
        <b/>
        <vertAlign val="subscript"/>
        <sz val="11"/>
        <rFont val="Calibri"/>
        <family val="2"/>
        <scheme val="minor"/>
      </rPr>
      <t>2</t>
    </r>
    <r>
      <rPr>
        <b/>
        <sz val="11"/>
        <rFont val="Calibri"/>
        <family val="2"/>
        <scheme val="minor"/>
      </rPr>
      <t>O emissions from managed soils</t>
    </r>
  </si>
  <si>
    <r>
      <t>Emissions factor for N</t>
    </r>
    <r>
      <rPr>
        <b/>
        <vertAlign val="subscript"/>
        <sz val="11"/>
        <rFont val="Calibri"/>
        <family val="2"/>
        <scheme val="minor"/>
      </rPr>
      <t>2</t>
    </r>
    <r>
      <rPr>
        <b/>
        <sz val="11"/>
        <rFont val="Calibri"/>
        <family val="2"/>
        <scheme val="minor"/>
      </rPr>
      <t>O emissions from urine and dung N deposited on pasture, range and paddock for cattle, poultry and pigs</t>
    </r>
  </si>
  <si>
    <r>
      <t>Emissions factor for N</t>
    </r>
    <r>
      <rPr>
        <b/>
        <vertAlign val="subscript"/>
        <sz val="11"/>
        <rFont val="Calibri"/>
        <family val="2"/>
        <scheme val="minor"/>
      </rPr>
      <t>2</t>
    </r>
    <r>
      <rPr>
        <b/>
        <sz val="11"/>
        <rFont val="Calibri"/>
        <family val="2"/>
        <scheme val="minor"/>
      </rPr>
      <t>O emissions from urine and dung N deposited on pasture, range and paddock for sheep</t>
    </r>
  </si>
  <si>
    <r>
      <t>Converting N to N</t>
    </r>
    <r>
      <rPr>
        <b/>
        <vertAlign val="subscript"/>
        <sz val="11"/>
        <rFont val="Calibri"/>
        <family val="2"/>
        <scheme val="minor"/>
      </rPr>
      <t>2</t>
    </r>
    <r>
      <rPr>
        <b/>
        <sz val="11"/>
        <rFont val="Calibri"/>
        <family val="2"/>
        <scheme val="minor"/>
      </rPr>
      <t>O</t>
    </r>
  </si>
  <si>
    <r>
      <t>N</t>
    </r>
    <r>
      <rPr>
        <b/>
        <vertAlign val="subscript"/>
        <sz val="11"/>
        <rFont val="Calibri"/>
        <family val="2"/>
        <scheme val="minor"/>
      </rPr>
      <t>2</t>
    </r>
    <r>
      <rPr>
        <b/>
        <sz val="11"/>
        <rFont val="Calibri"/>
        <family val="2"/>
        <scheme val="minor"/>
      </rPr>
      <t>O Global Warming Potential over 100 years</t>
    </r>
  </si>
  <si>
    <r>
      <t>CH</t>
    </r>
    <r>
      <rPr>
        <b/>
        <vertAlign val="subscript"/>
        <sz val="11"/>
        <rFont val="Calibri"/>
        <family val="2"/>
        <scheme val="minor"/>
      </rPr>
      <t>4</t>
    </r>
    <r>
      <rPr>
        <b/>
        <sz val="11"/>
        <rFont val="Calibri"/>
        <family val="2"/>
        <scheme val="minor"/>
      </rPr>
      <t xml:space="preserve"> (non-fossil) Global Warming Potential over 100 years</t>
    </r>
  </si>
  <si>
    <r>
      <t>Conversion factor of m</t>
    </r>
    <r>
      <rPr>
        <b/>
        <vertAlign val="superscript"/>
        <sz val="11"/>
        <rFont val="Calibri"/>
        <family val="2"/>
        <scheme val="minor"/>
      </rPr>
      <t>3</t>
    </r>
    <r>
      <rPr>
        <b/>
        <sz val="11"/>
        <rFont val="Calibri"/>
        <family val="2"/>
        <scheme val="minor"/>
      </rPr>
      <t xml:space="preserve"> CH</t>
    </r>
    <r>
      <rPr>
        <b/>
        <vertAlign val="subscript"/>
        <sz val="11"/>
        <rFont val="Calibri"/>
        <family val="2"/>
        <scheme val="minor"/>
      </rPr>
      <t>4</t>
    </r>
    <r>
      <rPr>
        <b/>
        <sz val="11"/>
        <rFont val="Calibri"/>
        <family val="2"/>
        <scheme val="minor"/>
      </rPr>
      <t xml:space="preserve"> to kg CH</t>
    </r>
    <r>
      <rPr>
        <b/>
        <vertAlign val="subscript"/>
        <sz val="11"/>
        <rFont val="Calibri"/>
        <family val="2"/>
        <scheme val="minor"/>
      </rPr>
      <t>4</t>
    </r>
    <r>
      <rPr>
        <b/>
        <sz val="11"/>
        <rFont val="Calibri"/>
        <family val="2"/>
        <scheme val="minor"/>
      </rPr>
      <t xml:space="preserve"> (density of methane gas)</t>
    </r>
  </si>
  <si>
    <t xml:space="preserve">  </t>
  </si>
  <si>
    <t>Coefficient for calculating NEg - cattle</t>
  </si>
  <si>
    <t>N intake rates?</t>
  </si>
  <si>
    <t>Pasture/Range/Paddock - Tier 1 Emissions Factor</t>
  </si>
  <si>
    <t>Pasture/Range/Paddock - Tier 2 Emissions Factor</t>
  </si>
  <si>
    <r>
      <t>Factors for N</t>
    </r>
    <r>
      <rPr>
        <b/>
        <vertAlign val="subscript"/>
        <sz val="11"/>
        <rFont val="Calibri"/>
        <family val="2"/>
        <scheme val="minor"/>
      </rPr>
      <t>2</t>
    </r>
    <r>
      <rPr>
        <b/>
        <sz val="11"/>
        <rFont val="Calibri"/>
        <family val="2"/>
        <scheme val="minor"/>
      </rPr>
      <t>O calculations</t>
    </r>
  </si>
  <si>
    <t xml:space="preserve">Emissions factors for estimating gross energy intake, methane and nitrous oxide in livestock </t>
  </si>
  <si>
    <t>Emissions factors for estimating gross energy intake, methane and nitrous oxide in livestock by livestock type</t>
  </si>
  <si>
    <t>Livestock weights and livestock units</t>
  </si>
  <si>
    <t>Soil carbon flux - low</t>
  </si>
  <si>
    <t>Soil carbon flux - high</t>
  </si>
  <si>
    <t>Total soil carbon flux - low</t>
  </si>
  <si>
    <t>Total soil carbon flux - high</t>
  </si>
  <si>
    <t>Balancing habitat and livestock emissions</t>
  </si>
  <si>
    <t>Inactive</t>
  </si>
  <si>
    <t>Active</t>
  </si>
  <si>
    <t>Species:</t>
  </si>
  <si>
    <t>Breed:</t>
  </si>
  <si>
    <t>Habitat emissions and sequestration</t>
  </si>
  <si>
    <t>Habitat emissions/sequestration</t>
  </si>
  <si>
    <t>Data for graphs</t>
  </si>
  <si>
    <t>Habitat emissions</t>
  </si>
  <si>
    <t>Carbon balance</t>
  </si>
  <si>
    <t>Habitat sequestration</t>
  </si>
  <si>
    <r>
      <t>Habitat emissions</t>
    </r>
    <r>
      <rPr>
        <b/>
        <sz val="11"/>
        <color theme="6"/>
        <rFont val="Calibri"/>
        <family val="2"/>
        <scheme val="minor"/>
      </rPr>
      <t>:</t>
    </r>
  </si>
  <si>
    <r>
      <t>Habitat sequestration</t>
    </r>
    <r>
      <rPr>
        <b/>
        <sz val="11"/>
        <color theme="6"/>
        <rFont val="Calibri"/>
        <family val="2"/>
        <scheme val="minor"/>
      </rPr>
      <t>:</t>
    </r>
  </si>
  <si>
    <t>Emissions</t>
  </si>
  <si>
    <t>Stocking rate level 
(per species)</t>
  </si>
  <si>
    <t xml:space="preserve">Total (for site)  </t>
  </si>
  <si>
    <t>Restoration stocking densities will differ dependent on the needs of your site.  
We have separated by low, medium and high stocking density, with the expectation that most restoration grazing practices will fall within the low category.</t>
  </si>
  <si>
    <r>
      <t>Annual emissions for site (tonnes CO</t>
    </r>
    <r>
      <rPr>
        <b/>
        <vertAlign val="subscript"/>
        <sz val="11"/>
        <color theme="0"/>
        <rFont val="Calibri"/>
        <family val="2"/>
        <scheme val="minor"/>
      </rPr>
      <t>2</t>
    </r>
    <r>
      <rPr>
        <b/>
        <sz val="11"/>
        <color theme="0"/>
        <rFont val="Calibri"/>
        <family val="2"/>
        <scheme val="minor"/>
      </rPr>
      <t>e / year)</t>
    </r>
  </si>
  <si>
    <r>
      <t>Annual emissions per hectare (tonnes CO</t>
    </r>
    <r>
      <rPr>
        <b/>
        <vertAlign val="subscript"/>
        <sz val="11"/>
        <color theme="0"/>
        <rFont val="Calibri"/>
        <family val="2"/>
        <scheme val="minor"/>
      </rPr>
      <t>2</t>
    </r>
    <r>
      <rPr>
        <b/>
        <sz val="11"/>
        <color theme="0"/>
        <rFont val="Calibri"/>
        <family val="2"/>
        <scheme val="minor"/>
      </rPr>
      <t>e / ha / year)</t>
    </r>
  </si>
  <si>
    <t>Average number of animals per year</t>
  </si>
  <si>
    <t>Carbon flux - high climate impact</t>
  </si>
  <si>
    <t>Carbon flux - low climate impact</t>
  </si>
  <si>
    <r>
      <t>Maximum methane producing capacity B</t>
    </r>
    <r>
      <rPr>
        <b/>
        <i/>
        <vertAlign val="subscript"/>
        <sz val="11"/>
        <rFont val="Calibri"/>
        <family val="2"/>
        <scheme val="minor"/>
      </rPr>
      <t>0</t>
    </r>
    <r>
      <rPr>
        <b/>
        <i/>
        <sz val="11"/>
        <rFont val="Calibri"/>
        <family val="2"/>
        <scheme val="minor"/>
      </rPr>
      <t xml:space="preserve"> (Tier 2)</t>
    </r>
  </si>
  <si>
    <t>Calcareous Grassland</t>
  </si>
  <si>
    <t>Low  climate impact</t>
  </si>
  <si>
    <t>This section of the tool considers the carbon stored in the soil and vegetation of the different habitats, and the GHG flux from the soil. If this flux is negative, it suggests that carbon sequestration is occurring. If this flux is positive, the site is emitting more GHGs than it is sequestering.</t>
  </si>
  <si>
    <t>Wildlife Trust (2021) Quantifying the potential impact of nature based solutions on greenhouse gas emissions from UK habitats</t>
  </si>
  <si>
    <t>Table 1; Chapman 2007.</t>
  </si>
  <si>
    <r>
      <t>Annual livestock emissions per site (t CO</t>
    </r>
    <r>
      <rPr>
        <b/>
        <vertAlign val="subscript"/>
        <sz val="11"/>
        <color theme="0"/>
        <rFont val="Calibri"/>
        <family val="2"/>
        <scheme val="minor"/>
      </rPr>
      <t>2</t>
    </r>
    <r>
      <rPr>
        <b/>
        <sz val="11"/>
        <color theme="0"/>
        <rFont val="Calibri"/>
        <family val="2"/>
        <scheme val="minor"/>
      </rPr>
      <t>e yr</t>
    </r>
    <r>
      <rPr>
        <b/>
        <vertAlign val="superscript"/>
        <sz val="11"/>
        <color theme="0"/>
        <rFont val="Calibri"/>
        <family val="2"/>
        <scheme val="minor"/>
      </rPr>
      <t>-1</t>
    </r>
    <r>
      <rPr>
        <b/>
        <sz val="11"/>
        <color theme="0"/>
        <rFont val="Calibri"/>
        <family val="2"/>
        <scheme val="minor"/>
      </rPr>
      <t>)</t>
    </r>
  </si>
  <si>
    <r>
      <t>Emissions balance between habitat and all species (t CO</t>
    </r>
    <r>
      <rPr>
        <b/>
        <vertAlign val="subscript"/>
        <sz val="11"/>
        <color theme="0"/>
        <rFont val="Calibri"/>
        <family val="2"/>
        <scheme val="minor"/>
      </rPr>
      <t>2</t>
    </r>
    <r>
      <rPr>
        <b/>
        <sz val="11"/>
        <color theme="0"/>
        <rFont val="Calibri"/>
        <family val="2"/>
        <scheme val="minor"/>
      </rPr>
      <t>e yr</t>
    </r>
    <r>
      <rPr>
        <b/>
        <vertAlign val="superscript"/>
        <sz val="11"/>
        <color theme="0"/>
        <rFont val="Calibri"/>
        <family val="2"/>
        <scheme val="minor"/>
      </rPr>
      <t>-1</t>
    </r>
    <r>
      <rPr>
        <b/>
        <sz val="11"/>
        <color theme="0"/>
        <rFont val="Calibri"/>
        <family val="2"/>
        <scheme val="minor"/>
      </rPr>
      <t>)</t>
    </r>
  </si>
  <si>
    <r>
      <t>Annual livestock emissions per hectare (t CO</t>
    </r>
    <r>
      <rPr>
        <b/>
        <vertAlign val="subscript"/>
        <sz val="11"/>
        <color theme="0"/>
        <rFont val="Calibri"/>
        <family val="2"/>
        <scheme val="minor"/>
      </rPr>
      <t>2</t>
    </r>
    <r>
      <rPr>
        <b/>
        <sz val="11"/>
        <color theme="0"/>
        <rFont val="Calibri"/>
        <family val="2"/>
        <scheme val="minor"/>
      </rPr>
      <t>e ha</t>
    </r>
    <r>
      <rPr>
        <b/>
        <vertAlign val="superscript"/>
        <sz val="11"/>
        <color theme="0"/>
        <rFont val="Calibri"/>
        <family val="2"/>
        <scheme val="minor"/>
      </rPr>
      <t>-1</t>
    </r>
    <r>
      <rPr>
        <b/>
        <sz val="11"/>
        <color theme="0"/>
        <rFont val="Calibri"/>
        <family val="2"/>
        <scheme val="minor"/>
      </rPr>
      <t xml:space="preserve"> yr</t>
    </r>
    <r>
      <rPr>
        <b/>
        <vertAlign val="superscript"/>
        <sz val="11"/>
        <color theme="0"/>
        <rFont val="Calibri"/>
        <family val="2"/>
        <scheme val="minor"/>
      </rPr>
      <t>-1</t>
    </r>
    <r>
      <rPr>
        <b/>
        <sz val="11"/>
        <color theme="0"/>
        <rFont val="Calibri"/>
        <family val="2"/>
        <scheme val="minor"/>
      </rPr>
      <t>)</t>
    </r>
  </si>
  <si>
    <r>
      <t>Emissions balance between habitat and all species per hectare (t CO</t>
    </r>
    <r>
      <rPr>
        <b/>
        <vertAlign val="subscript"/>
        <sz val="11"/>
        <color theme="0"/>
        <rFont val="Calibri"/>
        <family val="2"/>
        <scheme val="minor"/>
      </rPr>
      <t>2</t>
    </r>
    <r>
      <rPr>
        <b/>
        <sz val="11"/>
        <color theme="0"/>
        <rFont val="Calibri"/>
        <family val="2"/>
        <scheme val="minor"/>
      </rPr>
      <t>e ha</t>
    </r>
    <r>
      <rPr>
        <b/>
        <vertAlign val="superscript"/>
        <sz val="11"/>
        <color theme="0"/>
        <rFont val="Calibri"/>
        <family val="2"/>
        <scheme val="minor"/>
      </rPr>
      <t>-1</t>
    </r>
    <r>
      <rPr>
        <b/>
        <sz val="11"/>
        <color theme="0"/>
        <rFont val="Calibri"/>
        <family val="2"/>
        <scheme val="minor"/>
      </rPr>
      <t xml:space="preserve"> yr</t>
    </r>
    <r>
      <rPr>
        <b/>
        <vertAlign val="superscript"/>
        <sz val="11"/>
        <color theme="0"/>
        <rFont val="Calibri"/>
        <family val="2"/>
        <scheme val="minor"/>
      </rPr>
      <t>-1</t>
    </r>
    <r>
      <rPr>
        <b/>
        <sz val="11"/>
        <color theme="0"/>
        <rFont val="Calibri"/>
        <family val="2"/>
        <scheme val="minor"/>
      </rPr>
      <t>)</t>
    </r>
  </si>
  <si>
    <t>e.g. Welsh Mountain, Swaledale, Herdwick</t>
  </si>
  <si>
    <t>e.g. Southdown, Scottish blackface, Cheviot</t>
  </si>
  <si>
    <t>e.g. Longhorn, North (Ruby) Devon, Welsh Black</t>
  </si>
  <si>
    <t>e.g. Continental Cross Breed, South Devon, Sussex</t>
  </si>
  <si>
    <t>Breed size category</t>
  </si>
  <si>
    <t>Breed examples</t>
  </si>
  <si>
    <t>Small (&lt;500 kg)</t>
  </si>
  <si>
    <t>Medium (500 kg - 700 kg)</t>
  </si>
  <si>
    <t>Large (&gt;700 kg)</t>
  </si>
  <si>
    <t>Small (&lt;50 kg)</t>
  </si>
  <si>
    <t>Medium (50 kg - 70 kg)</t>
  </si>
  <si>
    <t>Large (&gt;70 kg)</t>
  </si>
  <si>
    <t>Small (&lt;300 kg)</t>
  </si>
  <si>
    <t>e.g. Exmoor, Dartmoor, Shetland</t>
  </si>
  <si>
    <t>Medium (300 – 600 kg)</t>
  </si>
  <si>
    <t>e.g. Konik, Fell, Highland</t>
  </si>
  <si>
    <t>European (360 – 990 kg)</t>
  </si>
  <si>
    <t>N/A</t>
  </si>
  <si>
    <t>Standard (300 – 600 kg)</t>
  </si>
  <si>
    <t>Please select which breed size category your animals are. 
Adult weights are shown.</t>
  </si>
  <si>
    <t>Crofts and Jefferson 1999.</t>
  </si>
  <si>
    <t>Table 3; Chapman 2017.</t>
  </si>
  <si>
    <t>e.g. Galloway, Highland, Dexter</t>
  </si>
  <si>
    <t>Tier 1 calculation</t>
  </si>
  <si>
    <t>Tier 2 calculation</t>
  </si>
  <si>
    <r>
      <t>Annual habitat emissions per site 
(t CO</t>
    </r>
    <r>
      <rPr>
        <b/>
        <vertAlign val="subscript"/>
        <sz val="11"/>
        <color theme="0"/>
        <rFont val="Calibri"/>
        <family val="2"/>
        <scheme val="minor"/>
      </rPr>
      <t>2</t>
    </r>
    <r>
      <rPr>
        <b/>
        <sz val="11"/>
        <color theme="0"/>
        <rFont val="Calibri"/>
        <family val="2"/>
        <scheme val="minor"/>
      </rPr>
      <t>e yr</t>
    </r>
    <r>
      <rPr>
        <b/>
        <vertAlign val="superscript"/>
        <sz val="11"/>
        <color theme="0"/>
        <rFont val="Calibri"/>
        <family val="2"/>
        <scheme val="minor"/>
      </rPr>
      <t>-1</t>
    </r>
    <r>
      <rPr>
        <b/>
        <sz val="11"/>
        <color theme="0"/>
        <rFont val="Calibri"/>
        <family val="2"/>
        <scheme val="minor"/>
      </rPr>
      <t>)</t>
    </r>
  </si>
  <si>
    <r>
      <t>Annual habitat sequestration per site 
(t CO</t>
    </r>
    <r>
      <rPr>
        <b/>
        <vertAlign val="subscript"/>
        <sz val="11"/>
        <color theme="0"/>
        <rFont val="Calibri"/>
        <family val="2"/>
        <scheme val="minor"/>
      </rPr>
      <t>2</t>
    </r>
    <r>
      <rPr>
        <b/>
        <sz val="11"/>
        <color theme="0"/>
        <rFont val="Calibri"/>
        <family val="2"/>
        <scheme val="minor"/>
      </rPr>
      <t>e yr</t>
    </r>
    <r>
      <rPr>
        <b/>
        <vertAlign val="superscript"/>
        <sz val="11"/>
        <color theme="0"/>
        <rFont val="Calibri"/>
        <family val="2"/>
        <scheme val="minor"/>
      </rPr>
      <t>-1</t>
    </r>
    <r>
      <rPr>
        <b/>
        <sz val="11"/>
        <color theme="0"/>
        <rFont val="Calibri"/>
        <family val="2"/>
        <scheme val="minor"/>
      </rPr>
      <t>)</t>
    </r>
  </si>
  <si>
    <r>
      <t>Annual habitat emissions per hectare 
(t CO</t>
    </r>
    <r>
      <rPr>
        <b/>
        <vertAlign val="subscript"/>
        <sz val="11"/>
        <color theme="0"/>
        <rFont val="Calibri"/>
        <family val="2"/>
        <scheme val="minor"/>
      </rPr>
      <t>2</t>
    </r>
    <r>
      <rPr>
        <b/>
        <sz val="11"/>
        <color theme="0"/>
        <rFont val="Calibri"/>
        <family val="2"/>
        <scheme val="minor"/>
      </rPr>
      <t>e ha</t>
    </r>
    <r>
      <rPr>
        <b/>
        <vertAlign val="superscript"/>
        <sz val="11"/>
        <color theme="0"/>
        <rFont val="Calibri"/>
        <family val="2"/>
        <scheme val="minor"/>
      </rPr>
      <t>-1</t>
    </r>
    <r>
      <rPr>
        <b/>
        <sz val="11"/>
        <color theme="0"/>
        <rFont val="Calibri"/>
        <family val="2"/>
        <scheme val="minor"/>
      </rPr>
      <t xml:space="preserve"> yr</t>
    </r>
    <r>
      <rPr>
        <b/>
        <vertAlign val="superscript"/>
        <sz val="11"/>
        <color theme="0"/>
        <rFont val="Calibri"/>
        <family val="2"/>
        <scheme val="minor"/>
      </rPr>
      <t>-1</t>
    </r>
    <r>
      <rPr>
        <b/>
        <sz val="11"/>
        <color theme="0"/>
        <rFont val="Calibri"/>
        <family val="2"/>
        <scheme val="minor"/>
      </rPr>
      <t>)</t>
    </r>
  </si>
  <si>
    <r>
      <t>Annual habitat sequestration per hectare 
(t CO</t>
    </r>
    <r>
      <rPr>
        <b/>
        <vertAlign val="subscript"/>
        <sz val="11"/>
        <color theme="0"/>
        <rFont val="Calibri"/>
        <family val="2"/>
        <scheme val="minor"/>
      </rPr>
      <t>2</t>
    </r>
    <r>
      <rPr>
        <b/>
        <sz val="11"/>
        <color theme="0"/>
        <rFont val="Calibri"/>
        <family val="2"/>
        <scheme val="minor"/>
      </rPr>
      <t>e ha</t>
    </r>
    <r>
      <rPr>
        <b/>
        <vertAlign val="superscript"/>
        <sz val="11"/>
        <color theme="0"/>
        <rFont val="Calibri"/>
        <family val="2"/>
        <scheme val="minor"/>
      </rPr>
      <t>-1</t>
    </r>
    <r>
      <rPr>
        <b/>
        <sz val="11"/>
        <color theme="0"/>
        <rFont val="Calibri"/>
        <family val="2"/>
        <scheme val="minor"/>
      </rPr>
      <t xml:space="preserve"> yr</t>
    </r>
    <r>
      <rPr>
        <b/>
        <vertAlign val="superscript"/>
        <sz val="11"/>
        <color theme="0"/>
        <rFont val="Calibri"/>
        <family val="2"/>
        <scheme val="minor"/>
      </rPr>
      <t>-1</t>
    </r>
    <r>
      <rPr>
        <b/>
        <sz val="11"/>
        <color theme="0"/>
        <rFont val="Calibri"/>
        <family val="2"/>
        <scheme val="minor"/>
      </rPr>
      <t>)</t>
    </r>
  </si>
  <si>
    <t>Low GHG flux</t>
  </si>
  <si>
    <t>High GHG flux</t>
  </si>
  <si>
    <t>Tier 1</t>
  </si>
  <si>
    <t>Tier 2</t>
  </si>
  <si>
    <t>Indicative stocking rate level</t>
  </si>
  <si>
    <t xml:space="preserve">This tool has been designed to estimate the GHG emissions from livestock that are being used for conservation grazing. The user can select up to three different habitats that are being grazed at one time. 
The user can then enter livestock information for cattle, sheep, horses, bison and water buffalo. </t>
  </si>
  <si>
    <t>Ammonia emissions - Tier 1 (Equations 10.26 and 10.28)</t>
  </si>
  <si>
    <t>Nitrate emissions - Tier 1 (Equations 10.27 and 10.29)</t>
  </si>
  <si>
    <t>Comparing Tier 1 and Tier 2 emissions</t>
  </si>
  <si>
    <t>The IPCC recommends that horses use Tier 1 calculations. Tier 2 calculations are recommended for sheep, cattle, bison and buffalo. 
This page presents both Tier 1 and Tier 2 livestock results to allow for comparisons.</t>
  </si>
  <si>
    <t>Methane emissions factor (Tier 1)</t>
  </si>
  <si>
    <t>Methane emissions factor per period (Tier 1)</t>
  </si>
  <si>
    <t>Tier 1 Enteric fermentation emissions from livestock (Equation 10.19)</t>
  </si>
  <si>
    <t>N retention fraction</t>
  </si>
  <si>
    <t>e.g. Blue-faced Leicester, Dorset Horn, Texel</t>
  </si>
  <si>
    <t>IPCC (2019) Chapter 10: Emissions from livestock and manure management. Table 10.14: Methane emission factors by animal category, manure management system and climate zone</t>
  </si>
  <si>
    <t xml:space="preserve">  IPCC (2019) Chapter 10: Emissions from livestock and manure management. Table 10.20 and Table 10A.2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</si>
</sst>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
    <numFmt numFmtId="166" formatCode="0.0000"/>
    <numFmt numFmtId="167" formatCode="#,##0.000"/>
    <numFmt numFmtId="168" formatCode="0.000000"/>
    <numFmt numFmtId="169" formatCode="#,##0.00000"/>
    <numFmt numFmtId="170" formatCode="0.00000"/>
    <numFmt numFmtId="171" formatCode="#,##0.0000"/>
  </numFmts>
  <fonts count="29" x14ac:knownFonts="1">
    <font>
      <sz val="11"/>
      <color theme="1"/>
      <name val="Calibri"/>
      <family val="2"/>
      <scheme val="minor"/>
    </font>
    <font>
      <sz val="11"/>
      <color rgb="FFFF0000"/>
      <name val="Calibri"/>
      <family val="2"/>
      <scheme val="minor"/>
    </font>
    <font>
      <sz val="11"/>
      <color theme="0"/>
      <name val="Calibri"/>
      <family val="2"/>
      <scheme val="minor"/>
    </font>
    <font>
      <vertAlign val="subscript"/>
      <sz val="11"/>
      <color theme="1"/>
      <name val="Calibri"/>
      <family val="2"/>
      <scheme val="minor"/>
    </font>
    <font>
      <vertAlign val="superscript"/>
      <sz val="11"/>
      <color theme="1"/>
      <name val="Calibri"/>
      <family val="2"/>
      <scheme val="minor"/>
    </font>
    <font>
      <sz val="8"/>
      <name val="Calibri"/>
      <family val="2"/>
      <scheme val="minor"/>
    </font>
    <font>
      <b/>
      <sz val="11"/>
      <color theme="1"/>
      <name val="Calibri"/>
      <family val="2"/>
      <scheme val="minor"/>
    </font>
    <font>
      <b/>
      <vertAlign val="subscript"/>
      <sz val="11"/>
      <color theme="1"/>
      <name val="Calibri"/>
      <family val="2"/>
      <scheme val="minor"/>
    </font>
    <font>
      <b/>
      <sz val="11"/>
      <name val="Calibri"/>
      <family val="2"/>
      <scheme val="minor"/>
    </font>
    <font>
      <b/>
      <sz val="20"/>
      <color theme="0"/>
      <name val="Calibri"/>
      <family val="2"/>
      <scheme val="minor"/>
    </font>
    <font>
      <b/>
      <i/>
      <sz val="11"/>
      <name val="Calibri"/>
      <family val="2"/>
      <scheme val="minor"/>
    </font>
    <font>
      <b/>
      <i/>
      <vertAlign val="subscript"/>
      <sz val="11"/>
      <name val="Calibri"/>
      <family val="2"/>
      <scheme val="minor"/>
    </font>
    <font>
      <sz val="11"/>
      <name val="Calibri"/>
      <family val="2"/>
      <scheme val="minor"/>
    </font>
    <font>
      <sz val="11"/>
      <color theme="0" tint="-0.249977111117893"/>
      <name val="Calibri"/>
      <family val="2"/>
      <scheme val="minor"/>
    </font>
    <font>
      <b/>
      <sz val="11"/>
      <color theme="0"/>
      <name val="Calibri"/>
      <family val="2"/>
      <scheme val="minor"/>
    </font>
    <font>
      <b/>
      <sz val="20"/>
      <color theme="5"/>
      <name val="Calibri"/>
      <family val="2"/>
      <scheme val="minor"/>
    </font>
    <font>
      <b/>
      <vertAlign val="superscript"/>
      <sz val="11"/>
      <color theme="1"/>
      <name val="Calibri"/>
      <family val="2"/>
      <scheme val="minor"/>
    </font>
    <font>
      <b/>
      <vertAlign val="subscript"/>
      <sz val="11"/>
      <color theme="0"/>
      <name val="Calibri"/>
      <family val="2"/>
      <scheme val="minor"/>
    </font>
    <font>
      <b/>
      <vertAlign val="superscript"/>
      <sz val="11"/>
      <name val="Calibri"/>
      <family val="2"/>
      <scheme val="minor"/>
    </font>
    <font>
      <b/>
      <vertAlign val="subscript"/>
      <sz val="11"/>
      <name val="Calibri"/>
      <family val="2"/>
      <scheme val="minor"/>
    </font>
    <font>
      <vertAlign val="subscript"/>
      <sz val="11"/>
      <name val="Calibri"/>
      <family val="2"/>
      <scheme val="minor"/>
    </font>
    <font>
      <vertAlign val="superscript"/>
      <sz val="11"/>
      <name val="Calibri"/>
      <family val="2"/>
      <scheme val="minor"/>
    </font>
    <font>
      <b/>
      <u/>
      <sz val="11"/>
      <name val="Calibri"/>
      <family val="2"/>
      <scheme val="minor"/>
    </font>
    <font>
      <b/>
      <sz val="11"/>
      <color theme="6"/>
      <name val="Calibri"/>
      <family val="2"/>
      <scheme val="minor"/>
    </font>
    <font>
      <b/>
      <vertAlign val="superscript"/>
      <sz val="11"/>
      <color theme="0"/>
      <name val="Calibri"/>
      <family val="2"/>
      <scheme val="minor"/>
    </font>
    <font>
      <sz val="10.5"/>
      <color theme="1"/>
      <name val="Calibri"/>
      <family val="2"/>
      <scheme val="minor"/>
    </font>
    <font>
      <sz val="11"/>
      <color theme="1"/>
      <name val="Calibri"/>
      <family val="2"/>
      <scheme val="minor"/>
    </font>
    <font>
      <b/>
      <sz val="11"/>
      <color theme="3"/>
      <name val="Calibri"/>
      <family val="2"/>
      <scheme val="minor"/>
    </font>
    <font>
      <sz val="11"/>
      <color theme="3"/>
      <name val="Calibri"/>
      <family val="2"/>
      <scheme val="minor"/>
    </font>
  </fonts>
  <fills count="21">
    <fill>
      <patternFill patternType="none"/>
    </fill>
    <fill>
      <patternFill patternType="gray125"/>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theme="8"/>
        <bgColor indexed="64"/>
      </patternFill>
    </fill>
    <fill>
      <patternFill patternType="solid">
        <fgColor rgb="FF7030A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4.9989318521683403E-2"/>
        <bgColor indexed="64"/>
      </patternFill>
    </fill>
  </fills>
  <borders count="7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9" fontId="26" fillId="0" borderId="0" applyFont="0" applyFill="0" applyBorder="0" applyAlignment="0" applyProtection="0"/>
  </cellStyleXfs>
  <cellXfs count="528">
    <xf numFmtId="0" fontId="0" fillId="0" borderId="0" xfId="0"/>
    <xf numFmtId="0" fontId="0" fillId="3" borderId="0" xfId="0" applyFill="1"/>
    <xf numFmtId="0" fontId="0" fillId="0" borderId="0" xfId="0" quotePrefix="1"/>
    <xf numFmtId="0" fontId="0" fillId="8" borderId="0" xfId="0" applyFill="1"/>
    <xf numFmtId="0" fontId="0" fillId="9" borderId="0" xfId="0" applyFill="1"/>
    <xf numFmtId="0" fontId="2" fillId="11" borderId="0" xfId="0" applyFont="1" applyFill="1"/>
    <xf numFmtId="0" fontId="0" fillId="0" borderId="0" xfId="0" applyAlignment="1">
      <alignment horizontal="center"/>
    </xf>
    <xf numFmtId="0" fontId="1" fillId="0" borderId="0" xfId="0" applyFont="1" applyAlignment="1">
      <alignment horizontal="center"/>
    </xf>
    <xf numFmtId="0" fontId="6" fillId="0" borderId="0" xfId="0" applyFont="1" applyAlignment="1">
      <alignment wrapText="1"/>
    </xf>
    <xf numFmtId="0" fontId="6" fillId="0" borderId="0" xfId="0" applyFont="1"/>
    <xf numFmtId="0" fontId="1" fillId="0" borderId="0" xfId="0" applyFont="1"/>
    <xf numFmtId="0" fontId="6" fillId="0" borderId="0" xfId="0" applyFont="1" applyAlignment="1">
      <alignment horizontal="center" wrapText="1"/>
    </xf>
    <xf numFmtId="0" fontId="0" fillId="6" borderId="0" xfId="0" applyFill="1" applyAlignment="1">
      <alignment horizontal="center" vertical="center" wrapText="1"/>
    </xf>
    <xf numFmtId="0" fontId="2" fillId="5" borderId="0" xfId="0" applyFont="1" applyFill="1" applyAlignment="1">
      <alignment horizontal="center" vertical="center" wrapText="1"/>
    </xf>
    <xf numFmtId="0" fontId="0" fillId="0" borderId="0" xfId="0" applyAlignment="1">
      <alignment horizontal="center" vertical="center"/>
    </xf>
    <xf numFmtId="0" fontId="2" fillId="2" borderId="0" xfId="0" applyFont="1" applyFill="1"/>
    <xf numFmtId="0" fontId="0" fillId="0" borderId="0" xfId="0" applyAlignment="1">
      <alignment horizontal="left" vertical="center"/>
    </xf>
    <xf numFmtId="0" fontId="6" fillId="16" borderId="0" xfId="0" applyFont="1" applyFill="1" applyAlignment="1">
      <alignment horizontal="center" wrapText="1"/>
    </xf>
    <xf numFmtId="0" fontId="0" fillId="4" borderId="0" xfId="0" applyFill="1" applyAlignment="1">
      <alignment horizontal="center" vertical="center" wrapText="1"/>
    </xf>
    <xf numFmtId="0" fontId="0" fillId="2" borderId="0" xfId="0" applyFill="1" applyProtection="1">
      <protection hidden="1"/>
    </xf>
    <xf numFmtId="0" fontId="9" fillId="2" borderId="0" xfId="0" applyFont="1" applyFill="1" applyProtection="1">
      <protection hidden="1"/>
    </xf>
    <xf numFmtId="0" fontId="2" fillId="2" borderId="0" xfId="0" applyFont="1" applyFill="1" applyAlignment="1" applyProtection="1">
      <alignment vertical="top" wrapText="1"/>
      <protection hidden="1"/>
    </xf>
    <xf numFmtId="0" fontId="2" fillId="2" borderId="0" xfId="0" quotePrefix="1" applyFont="1" applyFill="1" applyAlignment="1" applyProtection="1">
      <alignment vertical="top"/>
      <protection hidden="1"/>
    </xf>
    <xf numFmtId="0" fontId="2" fillId="2" borderId="0" xfId="0" quotePrefix="1" applyFont="1" applyFill="1" applyAlignment="1" applyProtection="1">
      <alignment vertical="top" wrapText="1"/>
      <protection hidden="1"/>
    </xf>
    <xf numFmtId="0" fontId="2" fillId="2" borderId="0" xfId="0" quotePrefix="1" applyFont="1" applyFill="1" applyProtection="1">
      <protection hidden="1"/>
    </xf>
    <xf numFmtId="0" fontId="0" fillId="15" borderId="0" xfId="0" applyFill="1" applyProtection="1">
      <protection hidden="1"/>
    </xf>
    <xf numFmtId="0" fontId="8" fillId="4" borderId="32" xfId="0" applyFont="1" applyFill="1" applyBorder="1" applyAlignment="1" applyProtection="1">
      <alignment horizontal="center" vertical="top" wrapText="1"/>
      <protection hidden="1"/>
    </xf>
    <xf numFmtId="0" fontId="8" fillId="4" borderId="44" xfId="0" applyFont="1" applyFill="1" applyBorder="1" applyProtection="1">
      <protection hidden="1"/>
    </xf>
    <xf numFmtId="0" fontId="6" fillId="18" borderId="1" xfId="0" applyFont="1" applyFill="1" applyBorder="1" applyAlignment="1" applyProtection="1">
      <alignment horizontal="center"/>
      <protection hidden="1"/>
    </xf>
    <xf numFmtId="0" fontId="0" fillId="0" borderId="0" xfId="0" applyProtection="1">
      <protection hidden="1"/>
    </xf>
    <xf numFmtId="0" fontId="8" fillId="4" borderId="46" xfId="0" applyFont="1" applyFill="1" applyBorder="1" applyAlignment="1" applyProtection="1">
      <alignment horizontal="center" vertical="top"/>
      <protection hidden="1"/>
    </xf>
    <xf numFmtId="2" fontId="0" fillId="0" borderId="0" xfId="0" applyNumberFormat="1" applyAlignment="1">
      <alignment horizontal="center"/>
    </xf>
    <xf numFmtId="2" fontId="0" fillId="0" borderId="0" xfId="0" quotePrefix="1" applyNumberFormat="1" applyAlignment="1">
      <alignment horizontal="center"/>
    </xf>
    <xf numFmtId="164" fontId="0" fillId="0" borderId="0" xfId="0" quotePrefix="1" applyNumberFormat="1" applyAlignment="1">
      <alignment horizontal="center"/>
    </xf>
    <xf numFmtId="164" fontId="0" fillId="0" borderId="0" xfId="0" applyNumberFormat="1" applyAlignment="1">
      <alignment horizontal="center"/>
    </xf>
    <xf numFmtId="0" fontId="0" fillId="0" borderId="0" xfId="0" quotePrefix="1" applyAlignment="1">
      <alignment horizontal="center"/>
    </xf>
    <xf numFmtId="0" fontId="8" fillId="4" borderId="30" xfId="0" applyFont="1" applyFill="1" applyBorder="1" applyAlignment="1" applyProtection="1">
      <alignment horizontal="left" vertical="center"/>
      <protection hidden="1"/>
    </xf>
    <xf numFmtId="0" fontId="0" fillId="15" borderId="0" xfId="0" applyFill="1" applyAlignment="1" applyProtection="1">
      <alignment vertical="center"/>
      <protection hidden="1"/>
    </xf>
    <xf numFmtId="0" fontId="8" fillId="4" borderId="47" xfId="0" applyFont="1" applyFill="1" applyBorder="1" applyAlignment="1" applyProtection="1">
      <alignment horizontal="center" vertical="center"/>
      <protection hidden="1"/>
    </xf>
    <xf numFmtId="0" fontId="2" fillId="15" borderId="0" xfId="0" applyFont="1" applyFill="1" applyProtection="1">
      <protection hidden="1"/>
    </xf>
    <xf numFmtId="0" fontId="12" fillId="15" borderId="0" xfId="0" applyFont="1" applyFill="1" applyProtection="1">
      <protection hidden="1"/>
    </xf>
    <xf numFmtId="0" fontId="8" fillId="4" borderId="27" xfId="0" applyFont="1" applyFill="1" applyBorder="1" applyAlignment="1" applyProtection="1">
      <alignment horizontal="center" vertical="center" wrapText="1"/>
      <protection hidden="1"/>
    </xf>
    <xf numFmtId="0" fontId="8" fillId="4" borderId="29" xfId="0" applyFont="1" applyFill="1" applyBorder="1" applyAlignment="1" applyProtection="1">
      <alignment horizontal="center" vertical="center" wrapText="1"/>
      <protection hidden="1"/>
    </xf>
    <xf numFmtId="0" fontId="8" fillId="4" borderId="32" xfId="0" applyFont="1" applyFill="1" applyBorder="1" applyAlignment="1" applyProtection="1">
      <alignment horizontal="center" vertical="center"/>
      <protection hidden="1"/>
    </xf>
    <xf numFmtId="0" fontId="8" fillId="4" borderId="46" xfId="0" applyFont="1" applyFill="1" applyBorder="1" applyAlignment="1" applyProtection="1">
      <alignment horizontal="center" vertical="center" wrapText="1"/>
      <protection hidden="1"/>
    </xf>
    <xf numFmtId="0" fontId="8" fillId="4" borderId="47" xfId="0" applyFont="1" applyFill="1" applyBorder="1" applyAlignment="1" applyProtection="1">
      <alignment horizontal="center" vertical="center" wrapText="1"/>
      <protection hidden="1"/>
    </xf>
    <xf numFmtId="0" fontId="8" fillId="4" borderId="31" xfId="0" applyFont="1" applyFill="1" applyBorder="1" applyAlignment="1" applyProtection="1">
      <alignment horizontal="center" vertical="center" wrapText="1"/>
      <protection hidden="1"/>
    </xf>
    <xf numFmtId="0" fontId="8" fillId="4" borderId="46" xfId="0" applyFont="1" applyFill="1" applyBorder="1" applyAlignment="1" applyProtection="1">
      <alignment horizontal="center" vertical="top" wrapText="1"/>
      <protection hidden="1"/>
    </xf>
    <xf numFmtId="0" fontId="8" fillId="4" borderId="31" xfId="0" applyFont="1" applyFill="1" applyBorder="1" applyAlignment="1" applyProtection="1">
      <alignment horizontal="center" vertical="top" wrapText="1"/>
      <protection hidden="1"/>
    </xf>
    <xf numFmtId="0" fontId="12" fillId="2" borderId="0" xfId="0" applyFont="1" applyFill="1" applyProtection="1">
      <protection hidden="1"/>
    </xf>
    <xf numFmtId="0" fontId="15" fillId="15" borderId="0" xfId="0" applyFont="1" applyFill="1" applyAlignment="1" applyProtection="1">
      <alignment horizontal="left" vertical="center"/>
      <protection hidden="1"/>
    </xf>
    <xf numFmtId="0" fontId="8" fillId="4" borderId="45" xfId="0" applyFont="1" applyFill="1" applyBorder="1" applyAlignment="1" applyProtection="1">
      <alignment horizontal="center"/>
      <protection hidden="1"/>
    </xf>
    <xf numFmtId="0" fontId="6" fillId="14" borderId="32" xfId="0" applyFont="1" applyFill="1" applyBorder="1" applyProtection="1">
      <protection hidden="1"/>
    </xf>
    <xf numFmtId="0" fontId="0" fillId="0" borderId="26" xfId="0" applyBorder="1" applyAlignment="1" applyProtection="1">
      <alignment horizontal="center"/>
      <protection hidden="1"/>
    </xf>
    <xf numFmtId="0" fontId="6" fillId="14" borderId="45" xfId="0" applyFont="1" applyFill="1" applyBorder="1" applyProtection="1">
      <protection hidden="1"/>
    </xf>
    <xf numFmtId="0" fontId="0" fillId="0" borderId="9" xfId="0" applyBorder="1" applyAlignment="1" applyProtection="1">
      <alignment horizontal="center"/>
      <protection hidden="1"/>
    </xf>
    <xf numFmtId="0" fontId="6" fillId="14" borderId="27" xfId="0" applyFont="1" applyFill="1" applyBorder="1" applyProtection="1">
      <protection hidden="1"/>
    </xf>
    <xf numFmtId="0" fontId="0" fillId="0" borderId="49" xfId="0" applyBorder="1" applyAlignment="1" applyProtection="1">
      <alignment horizontal="center"/>
      <protection hidden="1"/>
    </xf>
    <xf numFmtId="0" fontId="6" fillId="18" borderId="27" xfId="0" applyFont="1" applyFill="1" applyBorder="1" applyProtection="1">
      <protection hidden="1"/>
    </xf>
    <xf numFmtId="0" fontId="0" fillId="15" borderId="0" xfId="0" applyFill="1" applyAlignment="1" applyProtection="1">
      <alignment horizontal="right"/>
      <protection hidden="1"/>
    </xf>
    <xf numFmtId="0" fontId="0" fillId="15" borderId="45" xfId="0" applyFill="1" applyBorder="1" applyProtection="1">
      <protection hidden="1"/>
    </xf>
    <xf numFmtId="0" fontId="0" fillId="15" borderId="48" xfId="0" applyFill="1" applyBorder="1" applyProtection="1">
      <protection hidden="1"/>
    </xf>
    <xf numFmtId="0" fontId="12" fillId="15" borderId="0" xfId="0" applyFont="1" applyFill="1" applyAlignment="1" applyProtection="1">
      <alignment horizontal="center" vertical="top"/>
      <protection hidden="1"/>
    </xf>
    <xf numFmtId="0" fontId="0" fillId="15" borderId="27" xfId="0" applyFill="1" applyBorder="1" applyProtection="1">
      <protection hidden="1"/>
    </xf>
    <xf numFmtId="0" fontId="0" fillId="15" borderId="47" xfId="0" applyFill="1" applyBorder="1" applyProtection="1">
      <protection hidden="1"/>
    </xf>
    <xf numFmtId="0" fontId="0" fillId="15" borderId="29" xfId="0" applyFill="1" applyBorder="1" applyProtection="1">
      <protection hidden="1"/>
    </xf>
    <xf numFmtId="0" fontId="0" fillId="19" borderId="20" xfId="0" applyFill="1" applyBorder="1" applyAlignment="1" applyProtection="1">
      <alignment vertical="center"/>
      <protection hidden="1"/>
    </xf>
    <xf numFmtId="0" fontId="0" fillId="15" borderId="0" xfId="0" applyFill="1" applyAlignment="1" applyProtection="1">
      <alignment horizontal="center" vertical="center"/>
      <protection hidden="1"/>
    </xf>
    <xf numFmtId="0" fontId="0" fillId="15" borderId="0" xfId="0" applyFill="1" applyAlignment="1" applyProtection="1">
      <alignment horizontal="center" vertical="top"/>
      <protection hidden="1"/>
    </xf>
    <xf numFmtId="0" fontId="6" fillId="18" borderId="10" xfId="0" applyFont="1" applyFill="1" applyBorder="1" applyAlignment="1" applyProtection="1">
      <alignment horizontal="center"/>
      <protection hidden="1"/>
    </xf>
    <xf numFmtId="0" fontId="0" fillId="0" borderId="0" xfId="0" applyAlignment="1" applyProtection="1">
      <alignment horizontal="center" vertical="top"/>
      <protection hidden="1"/>
    </xf>
    <xf numFmtId="0" fontId="8" fillId="4" borderId="30" xfId="0" applyFont="1" applyFill="1" applyBorder="1" applyAlignment="1" applyProtection="1">
      <alignment horizontal="left" vertical="top"/>
      <protection hidden="1"/>
    </xf>
    <xf numFmtId="0" fontId="8" fillId="4" borderId="0" xfId="0" applyFont="1" applyFill="1" applyAlignment="1" applyProtection="1">
      <alignment horizontal="center"/>
      <protection hidden="1"/>
    </xf>
    <xf numFmtId="0" fontId="6" fillId="18" borderId="12" xfId="0" applyFont="1" applyFill="1" applyBorder="1" applyProtection="1">
      <protection hidden="1"/>
    </xf>
    <xf numFmtId="0" fontId="6" fillId="18" borderId="47" xfId="0" applyFont="1" applyFill="1" applyBorder="1" applyAlignment="1" applyProtection="1">
      <alignment horizontal="center"/>
      <protection hidden="1"/>
    </xf>
    <xf numFmtId="0" fontId="12" fillId="0" borderId="0" xfId="0" applyFont="1" applyProtection="1">
      <protection hidden="1"/>
    </xf>
    <xf numFmtId="0" fontId="0" fillId="19" borderId="20" xfId="0" applyFill="1" applyBorder="1" applyProtection="1">
      <protection hidden="1"/>
    </xf>
    <xf numFmtId="165" fontId="6" fillId="18" borderId="20" xfId="0" applyNumberFormat="1" applyFont="1" applyFill="1" applyBorder="1" applyAlignment="1" applyProtection="1">
      <alignment horizontal="center"/>
      <protection hidden="1"/>
    </xf>
    <xf numFmtId="165" fontId="6" fillId="18" borderId="22" xfId="0" applyNumberFormat="1" applyFont="1" applyFill="1" applyBorder="1" applyAlignment="1" applyProtection="1">
      <alignment horizontal="center"/>
      <protection hidden="1"/>
    </xf>
    <xf numFmtId="2" fontId="0" fillId="15" borderId="39" xfId="0" applyNumberFormat="1" applyFill="1" applyBorder="1" applyAlignment="1" applyProtection="1">
      <alignment horizontal="center"/>
      <protection hidden="1"/>
    </xf>
    <xf numFmtId="2" fontId="6" fillId="18" borderId="20" xfId="0" applyNumberFormat="1" applyFont="1" applyFill="1" applyBorder="1" applyAlignment="1" applyProtection="1">
      <alignment horizontal="center"/>
      <protection hidden="1"/>
    </xf>
    <xf numFmtId="2" fontId="0" fillId="0" borderId="13" xfId="0" applyNumberFormat="1" applyBorder="1" applyAlignment="1" applyProtection="1">
      <alignment horizontal="center"/>
      <protection hidden="1"/>
    </xf>
    <xf numFmtId="0" fontId="0" fillId="3" borderId="0" xfId="0" applyFill="1" applyProtection="1">
      <protection hidden="1"/>
    </xf>
    <xf numFmtId="0" fontId="2" fillId="2" borderId="0" xfId="0" applyFont="1" applyFill="1" applyProtection="1">
      <protection hidden="1"/>
    </xf>
    <xf numFmtId="0" fontId="0" fillId="8" borderId="0" xfId="0" applyFill="1" applyProtection="1">
      <protection hidden="1"/>
    </xf>
    <xf numFmtId="0" fontId="8" fillId="0" borderId="0" xfId="0" applyFont="1" applyAlignment="1" applyProtection="1">
      <alignment horizontal="left" vertical="top" wrapText="1"/>
      <protection hidden="1"/>
    </xf>
    <xf numFmtId="0" fontId="8" fillId="0" borderId="0" xfId="0" applyFont="1" applyAlignment="1" applyProtection="1">
      <alignment horizontal="center" vertical="top" wrapText="1"/>
      <protection hidden="1"/>
    </xf>
    <xf numFmtId="0" fontId="12" fillId="0" borderId="0" xfId="0" applyFont="1" applyAlignment="1" applyProtection="1">
      <alignment horizontal="left" vertical="top"/>
      <protection hidden="1"/>
    </xf>
    <xf numFmtId="0" fontId="0" fillId="0" borderId="0" xfId="0" applyAlignment="1" applyProtection="1">
      <alignment horizontal="center"/>
      <protection hidden="1"/>
    </xf>
    <xf numFmtId="0" fontId="6" fillId="0" borderId="0" xfId="0" applyFont="1" applyProtection="1">
      <protection hidden="1"/>
    </xf>
    <xf numFmtId="3" fontId="0" fillId="0" borderId="0" xfId="0" applyNumberFormat="1" applyAlignment="1" applyProtection="1">
      <alignment horizontal="center"/>
      <protection hidden="1"/>
    </xf>
    <xf numFmtId="0" fontId="8" fillId="0" borderId="0" xfId="0" applyFont="1" applyProtection="1">
      <protection hidden="1"/>
    </xf>
    <xf numFmtId="3" fontId="8" fillId="0" borderId="0" xfId="0" applyNumberFormat="1" applyFont="1" applyAlignment="1" applyProtection="1">
      <alignment horizontal="center"/>
      <protection hidden="1"/>
    </xf>
    <xf numFmtId="0" fontId="8" fillId="0" borderId="0" xfId="0" applyFont="1" applyAlignment="1" applyProtection="1">
      <alignment horizontal="center"/>
      <protection hidden="1"/>
    </xf>
    <xf numFmtId="0" fontId="0" fillId="0" borderId="0" xfId="0" applyAlignment="1" applyProtection="1">
      <alignment horizontal="lef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0" fillId="4" borderId="0" xfId="0" applyFill="1" applyAlignment="1" applyProtection="1">
      <alignment horizontal="center" vertical="center" wrapText="1"/>
      <protection hidden="1"/>
    </xf>
    <xf numFmtId="0" fontId="0" fillId="6" borderId="0" xfId="0"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0" fillId="8" borderId="0" xfId="0" applyFill="1" applyAlignment="1" applyProtection="1">
      <alignment horizontal="center" vertical="center" wrapText="1"/>
      <protection hidden="1"/>
    </xf>
    <xf numFmtId="0" fontId="0" fillId="3" borderId="0" xfId="0" applyFill="1" applyAlignment="1" applyProtection="1">
      <alignment horizontal="center" vertical="center" wrapText="1"/>
      <protection hidden="1"/>
    </xf>
    <xf numFmtId="0" fontId="0" fillId="3" borderId="0" xfId="0" applyFill="1" applyAlignment="1" applyProtection="1">
      <alignment vertical="center"/>
      <protection hidden="1"/>
    </xf>
    <xf numFmtId="0" fontId="0" fillId="3" borderId="0" xfId="0" applyFill="1" applyAlignment="1" applyProtection="1">
      <alignment horizontal="center" vertical="center"/>
      <protection hidden="1"/>
    </xf>
    <xf numFmtId="0" fontId="2" fillId="11" borderId="0" xfId="0" applyFont="1" applyFill="1" applyProtection="1">
      <protection hidden="1"/>
    </xf>
    <xf numFmtId="0" fontId="0" fillId="7" borderId="0" xfId="0" applyFill="1" applyProtection="1">
      <protection hidden="1"/>
    </xf>
    <xf numFmtId="0" fontId="0" fillId="9" borderId="0" xfId="0" applyFill="1" applyAlignment="1" applyProtection="1">
      <alignment horizontal="center"/>
      <protection hidden="1"/>
    </xf>
    <xf numFmtId="0" fontId="0" fillId="8" borderId="0" xfId="0" applyFill="1" applyAlignment="1" applyProtection="1">
      <alignment horizontal="center"/>
      <protection hidden="1"/>
    </xf>
    <xf numFmtId="0" fontId="2" fillId="2" borderId="0" xfId="0" applyFont="1" applyFill="1" applyAlignment="1" applyProtection="1">
      <alignment horizontal="center"/>
      <protection hidden="1"/>
    </xf>
    <xf numFmtId="0" fontId="0" fillId="10" borderId="0" xfId="0" applyFill="1" applyProtection="1">
      <protection hidden="1"/>
    </xf>
    <xf numFmtId="0" fontId="0" fillId="9" borderId="0" xfId="0" applyFill="1" applyProtection="1">
      <protection hidden="1"/>
    </xf>
    <xf numFmtId="0" fontId="6" fillId="0" borderId="0" xfId="0" applyFont="1" applyAlignment="1" applyProtection="1">
      <alignment vertical="center"/>
      <protection hidden="1"/>
    </xf>
    <xf numFmtId="0" fontId="6" fillId="0" borderId="0" xfId="0" applyFont="1" applyAlignment="1" applyProtection="1">
      <alignment vertical="center" wrapText="1"/>
      <protection hidden="1"/>
    </xf>
    <xf numFmtId="0" fontId="6" fillId="0" borderId="0" xfId="0" applyFont="1" applyAlignment="1" applyProtection="1">
      <alignment horizontal="center" vertical="center" wrapText="1"/>
      <protection hidden="1"/>
    </xf>
    <xf numFmtId="0" fontId="6" fillId="16" borderId="0" xfId="0" applyFont="1" applyFill="1" applyAlignment="1" applyProtection="1">
      <alignment horizontal="center" vertical="center" wrapText="1"/>
      <protection hidden="1"/>
    </xf>
    <xf numFmtId="0" fontId="0" fillId="0" borderId="0" xfId="0" applyAlignment="1" applyProtection="1">
      <alignment horizontal="left"/>
      <protection hidden="1"/>
    </xf>
    <xf numFmtId="166" fontId="0" fillId="0" borderId="0" xfId="0" applyNumberFormat="1" applyAlignment="1" applyProtection="1">
      <alignment horizontal="center"/>
      <protection hidden="1"/>
    </xf>
    <xf numFmtId="164" fontId="0" fillId="0" borderId="0" xfId="0" applyNumberFormat="1" applyAlignment="1" applyProtection="1">
      <alignment horizontal="center"/>
      <protection hidden="1"/>
    </xf>
    <xf numFmtId="164" fontId="0" fillId="0" borderId="0" xfId="0" quotePrefix="1" applyNumberFormat="1" applyAlignment="1" applyProtection="1">
      <alignment horizontal="center"/>
      <protection hidden="1"/>
    </xf>
    <xf numFmtId="2" fontId="0" fillId="0" borderId="0" xfId="0" applyNumberFormat="1" applyAlignment="1" applyProtection="1">
      <alignment horizontal="center"/>
      <protection hidden="1"/>
    </xf>
    <xf numFmtId="4" fontId="0" fillId="0" borderId="0" xfId="0" quotePrefix="1" applyNumberFormat="1" applyAlignment="1" applyProtection="1">
      <alignment horizontal="center"/>
      <protection hidden="1"/>
    </xf>
    <xf numFmtId="171" fontId="0" fillId="0" borderId="0" xfId="0" quotePrefix="1" applyNumberFormat="1" applyAlignment="1" applyProtection="1">
      <alignment horizontal="center"/>
      <protection hidden="1"/>
    </xf>
    <xf numFmtId="169" fontId="0" fillId="0" borderId="0" xfId="0" quotePrefix="1" applyNumberFormat="1" applyAlignment="1" applyProtection="1">
      <alignment horizontal="center"/>
      <protection hidden="1"/>
    </xf>
    <xf numFmtId="167" fontId="0" fillId="0" borderId="0" xfId="0" quotePrefix="1" applyNumberFormat="1" applyAlignment="1" applyProtection="1">
      <alignment horizontal="center"/>
      <protection hidden="1"/>
    </xf>
    <xf numFmtId="2" fontId="0" fillId="0" borderId="0" xfId="0" quotePrefix="1" applyNumberFormat="1" applyAlignment="1" applyProtection="1">
      <alignment horizontal="center"/>
      <protection hidden="1"/>
    </xf>
    <xf numFmtId="0" fontId="0" fillId="0" borderId="0" xfId="0" quotePrefix="1" applyProtection="1">
      <protection hidden="1"/>
    </xf>
    <xf numFmtId="0" fontId="1" fillId="0" borderId="0" xfId="0" applyFont="1" applyProtection="1">
      <protection hidden="1"/>
    </xf>
    <xf numFmtId="0" fontId="2" fillId="11" borderId="0" xfId="0" applyFont="1" applyFill="1" applyAlignment="1" applyProtection="1">
      <alignment horizontal="center"/>
      <protection hidden="1"/>
    </xf>
    <xf numFmtId="0" fontId="0" fillId="3" borderId="0" xfId="0" applyFill="1" applyAlignment="1" applyProtection="1">
      <alignment horizontal="center"/>
      <protection hidden="1"/>
    </xf>
    <xf numFmtId="0" fontId="0" fillId="0" borderId="0" xfId="0" applyAlignment="1" applyProtection="1">
      <alignment horizontal="center" vertical="center" wrapText="1"/>
      <protection hidden="1"/>
    </xf>
    <xf numFmtId="1" fontId="0" fillId="0" borderId="0" xfId="0" applyNumberFormat="1" applyAlignment="1" applyProtection="1">
      <alignment horizontal="center"/>
      <protection hidden="1"/>
    </xf>
    <xf numFmtId="168" fontId="0" fillId="0" borderId="0" xfId="0" applyNumberFormat="1" applyAlignment="1" applyProtection="1">
      <alignment horizontal="center"/>
      <protection hidden="1"/>
    </xf>
    <xf numFmtId="170" fontId="0" fillId="0" borderId="0" xfId="0" applyNumberFormat="1" applyAlignment="1" applyProtection="1">
      <alignment horizontal="center"/>
      <protection hidden="1"/>
    </xf>
    <xf numFmtId="165" fontId="0" fillId="0" borderId="0" xfId="0" applyNumberFormat="1" applyAlignment="1" applyProtection="1">
      <alignment horizontal="center"/>
      <protection hidden="1"/>
    </xf>
    <xf numFmtId="0" fontId="22" fillId="0" borderId="0" xfId="0" applyFont="1" applyProtection="1">
      <protection hidden="1"/>
    </xf>
    <xf numFmtId="0" fontId="8" fillId="4" borderId="32" xfId="0" applyFont="1" applyFill="1" applyBorder="1" applyAlignment="1" applyProtection="1">
      <alignment vertical="center"/>
      <protection hidden="1"/>
    </xf>
    <xf numFmtId="0" fontId="8" fillId="4" borderId="46" xfId="0" applyFont="1" applyFill="1" applyBorder="1" applyAlignment="1" applyProtection="1">
      <alignment vertical="center"/>
      <protection hidden="1"/>
    </xf>
    <xf numFmtId="0" fontId="8" fillId="4" borderId="31" xfId="0" applyFont="1" applyFill="1" applyBorder="1" applyAlignment="1" applyProtection="1">
      <alignment vertical="center"/>
      <protection hidden="1"/>
    </xf>
    <xf numFmtId="0" fontId="8" fillId="4" borderId="32" xfId="0" applyFont="1" applyFill="1" applyBorder="1" applyAlignment="1" applyProtection="1">
      <alignment horizontal="center" vertical="center" wrapText="1"/>
      <protection hidden="1"/>
    </xf>
    <xf numFmtId="0" fontId="8" fillId="4" borderId="30" xfId="0" applyFont="1" applyFill="1" applyBorder="1" applyAlignment="1" applyProtection="1">
      <alignment horizontal="center" vertical="center"/>
      <protection hidden="1"/>
    </xf>
    <xf numFmtId="0" fontId="12" fillId="4" borderId="45" xfId="0" applyFont="1" applyFill="1" applyBorder="1" applyProtection="1">
      <protection hidden="1"/>
    </xf>
    <xf numFmtId="0" fontId="12" fillId="4" borderId="0" xfId="0" applyFont="1" applyFill="1" applyProtection="1">
      <protection hidden="1"/>
    </xf>
    <xf numFmtId="0" fontId="12" fillId="4" borderId="48" xfId="0" applyFont="1" applyFill="1" applyBorder="1" applyAlignment="1" applyProtection="1">
      <alignment horizontal="right"/>
      <protection hidden="1"/>
    </xf>
    <xf numFmtId="0" fontId="12" fillId="4" borderId="45" xfId="0" applyFont="1" applyFill="1" applyBorder="1" applyAlignment="1" applyProtection="1">
      <alignment horizontal="center" wrapText="1"/>
      <protection hidden="1"/>
    </xf>
    <xf numFmtId="0" fontId="12" fillId="4" borderId="48" xfId="0" applyFont="1" applyFill="1" applyBorder="1" applyAlignment="1" applyProtection="1">
      <alignment horizontal="center" wrapText="1"/>
      <protection hidden="1"/>
    </xf>
    <xf numFmtId="0" fontId="12" fillId="4" borderId="0" xfId="0" applyFont="1" applyFill="1" applyAlignment="1" applyProtection="1">
      <alignment horizontal="center" wrapText="1"/>
      <protection hidden="1"/>
    </xf>
    <xf numFmtId="0" fontId="12" fillId="4" borderId="44" xfId="0" applyFont="1" applyFill="1" applyBorder="1" applyAlignment="1" applyProtection="1">
      <alignment horizontal="center"/>
      <protection hidden="1"/>
    </xf>
    <xf numFmtId="0" fontId="12" fillId="4" borderId="45" xfId="0" applyFont="1" applyFill="1" applyBorder="1" applyAlignment="1" applyProtection="1">
      <alignment horizontal="center" vertical="top" wrapText="1"/>
      <protection hidden="1"/>
    </xf>
    <xf numFmtId="0" fontId="12" fillId="4" borderId="0" xfId="0" applyFont="1" applyFill="1" applyAlignment="1" applyProtection="1">
      <alignment horizontal="center" vertical="top" wrapText="1"/>
      <protection hidden="1"/>
    </xf>
    <xf numFmtId="0" fontId="12" fillId="4" borderId="48" xfId="0" applyFont="1" applyFill="1" applyBorder="1" applyAlignment="1" applyProtection="1">
      <alignment horizontal="center" vertical="top" wrapText="1"/>
      <protection hidden="1"/>
    </xf>
    <xf numFmtId="0" fontId="12" fillId="4" borderId="27" xfId="0" applyFont="1" applyFill="1" applyBorder="1" applyProtection="1">
      <protection hidden="1"/>
    </xf>
    <xf numFmtId="0" fontId="12" fillId="4" borderId="47" xfId="0" applyFont="1" applyFill="1" applyBorder="1" applyProtection="1">
      <protection hidden="1"/>
    </xf>
    <xf numFmtId="0" fontId="12" fillId="4" borderId="29" xfId="0" applyFont="1" applyFill="1" applyBorder="1" applyAlignment="1" applyProtection="1">
      <alignment horizontal="right"/>
      <protection hidden="1"/>
    </xf>
    <xf numFmtId="0" fontId="12" fillId="4" borderId="27" xfId="0" applyFont="1" applyFill="1" applyBorder="1" applyAlignment="1" applyProtection="1">
      <alignment horizontal="center"/>
      <protection hidden="1"/>
    </xf>
    <xf numFmtId="0" fontId="12" fillId="4" borderId="29" xfId="0" applyFont="1" applyFill="1" applyBorder="1" applyAlignment="1" applyProtection="1">
      <alignment horizontal="center"/>
      <protection hidden="1"/>
    </xf>
    <xf numFmtId="0" fontId="12" fillId="4" borderId="47" xfId="0" applyFont="1" applyFill="1" applyBorder="1" applyAlignment="1" applyProtection="1">
      <alignment horizontal="center"/>
      <protection hidden="1"/>
    </xf>
    <xf numFmtId="0" fontId="12" fillId="4" borderId="12" xfId="0" applyFont="1" applyFill="1" applyBorder="1" applyAlignment="1" applyProtection="1">
      <alignment horizontal="center"/>
      <protection hidden="1"/>
    </xf>
    <xf numFmtId="0" fontId="12" fillId="4" borderId="27" xfId="0" applyFont="1" applyFill="1" applyBorder="1" applyAlignment="1" applyProtection="1">
      <alignment horizontal="center" vertical="top" wrapText="1"/>
      <protection hidden="1"/>
    </xf>
    <xf numFmtId="0" fontId="12" fillId="4" borderId="47" xfId="0" applyFont="1" applyFill="1" applyBorder="1" applyAlignment="1" applyProtection="1">
      <alignment horizontal="center" vertical="top" wrapText="1"/>
      <protection hidden="1"/>
    </xf>
    <xf numFmtId="0" fontId="12" fillId="4" borderId="29" xfId="0" applyFont="1" applyFill="1" applyBorder="1" applyAlignment="1" applyProtection="1">
      <alignment horizontal="center" vertical="top" wrapText="1"/>
      <protection hidden="1"/>
    </xf>
    <xf numFmtId="0" fontId="0" fillId="13" borderId="45" xfId="0" applyFill="1" applyBorder="1" applyProtection="1">
      <protection hidden="1"/>
    </xf>
    <xf numFmtId="0" fontId="0" fillId="13" borderId="48" xfId="0" applyFill="1" applyBorder="1" applyProtection="1">
      <protection hidden="1"/>
    </xf>
    <xf numFmtId="0" fontId="0" fillId="0" borderId="45" xfId="0" applyBorder="1" applyAlignment="1" applyProtection="1">
      <alignment horizontal="center"/>
      <protection hidden="1"/>
    </xf>
    <xf numFmtId="0" fontId="0" fillId="0" borderId="31" xfId="0" applyBorder="1" applyAlignment="1" applyProtection="1">
      <alignment horizontal="center"/>
      <protection hidden="1"/>
    </xf>
    <xf numFmtId="0" fontId="0" fillId="0" borderId="46" xfId="0" applyBorder="1" applyAlignment="1" applyProtection="1">
      <alignment horizontal="center"/>
      <protection hidden="1"/>
    </xf>
    <xf numFmtId="9" fontId="0" fillId="0" borderId="32" xfId="0" applyNumberFormat="1" applyBorder="1" applyAlignment="1" applyProtection="1">
      <alignment horizontal="center"/>
      <protection hidden="1"/>
    </xf>
    <xf numFmtId="0" fontId="0" fillId="0" borderId="48" xfId="0" applyBorder="1" applyAlignment="1" applyProtection="1">
      <alignment horizontal="center"/>
      <protection hidden="1"/>
    </xf>
    <xf numFmtId="9" fontId="0" fillId="0" borderId="45" xfId="0" applyNumberFormat="1" applyBorder="1" applyAlignment="1" applyProtection="1">
      <alignment horizontal="center"/>
      <protection hidden="1"/>
    </xf>
    <xf numFmtId="0" fontId="0" fillId="13" borderId="27" xfId="0" applyFill="1" applyBorder="1" applyProtection="1">
      <protection hidden="1"/>
    </xf>
    <xf numFmtId="0" fontId="0" fillId="13" borderId="47" xfId="0" applyFill="1" applyBorder="1" applyProtection="1">
      <protection hidden="1"/>
    </xf>
    <xf numFmtId="0" fontId="0" fillId="13" borderId="29" xfId="0" applyFill="1" applyBorder="1" applyProtection="1">
      <protection hidden="1"/>
    </xf>
    <xf numFmtId="0" fontId="0" fillId="0" borderId="27"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47" xfId="0" applyBorder="1" applyAlignment="1" applyProtection="1">
      <alignment horizontal="center"/>
      <protection hidden="1"/>
    </xf>
    <xf numFmtId="2" fontId="0" fillId="0" borderId="47" xfId="0" applyNumberFormat="1" applyBorder="1" applyAlignment="1" applyProtection="1">
      <alignment horizontal="center"/>
      <protection hidden="1"/>
    </xf>
    <xf numFmtId="9" fontId="0" fillId="0" borderId="27" xfId="0" applyNumberFormat="1" applyBorder="1" applyAlignment="1" applyProtection="1">
      <alignment horizontal="center"/>
      <protection hidden="1"/>
    </xf>
    <xf numFmtId="0" fontId="0" fillId="0" borderId="0" xfId="0" applyAlignment="1" applyProtection="1">
      <alignment horizontal="right"/>
      <protection hidden="1"/>
    </xf>
    <xf numFmtId="0" fontId="8" fillId="13" borderId="1" xfId="0" applyFont="1" applyFill="1" applyBorder="1" applyProtection="1">
      <protection hidden="1"/>
    </xf>
    <xf numFmtId="0" fontId="8" fillId="13" borderId="16" xfId="0" applyFont="1" applyFill="1" applyBorder="1" applyAlignment="1" applyProtection="1">
      <alignment horizontal="center"/>
      <protection hidden="1"/>
    </xf>
    <xf numFmtId="0" fontId="8" fillId="13" borderId="16" xfId="0" applyFont="1" applyFill="1" applyBorder="1" applyAlignment="1" applyProtection="1">
      <alignment horizontal="left"/>
      <protection hidden="1"/>
    </xf>
    <xf numFmtId="0" fontId="8" fillId="13" borderId="6" xfId="0" applyFont="1" applyFill="1" applyBorder="1" applyAlignment="1" applyProtection="1">
      <alignment horizontal="center"/>
      <protection hidden="1"/>
    </xf>
    <xf numFmtId="0" fontId="8" fillId="4" borderId="1" xfId="0" applyFont="1" applyFill="1" applyBorder="1" applyProtection="1">
      <protection hidden="1"/>
    </xf>
    <xf numFmtId="0" fontId="0" fillId="0" borderId="10" xfId="0" applyBorder="1" applyAlignment="1" applyProtection="1">
      <alignment horizontal="right"/>
      <protection hidden="1"/>
    </xf>
    <xf numFmtId="0" fontId="0" fillId="0" borderId="16" xfId="0" applyBorder="1" applyAlignment="1" applyProtection="1">
      <alignment horizontal="left"/>
      <protection hidden="1"/>
    </xf>
    <xf numFmtId="0" fontId="0" fillId="0" borderId="6" xfId="0" applyBorder="1" applyProtection="1">
      <protection hidden="1"/>
    </xf>
    <xf numFmtId="0" fontId="0" fillId="0" borderId="45" xfId="0" applyBorder="1" applyAlignment="1" applyProtection="1">
      <alignment horizontal="right"/>
      <protection hidden="1"/>
    </xf>
    <xf numFmtId="0" fontId="0" fillId="0" borderId="48" xfId="0" applyBorder="1" applyProtection="1">
      <protection hidden="1"/>
    </xf>
    <xf numFmtId="0" fontId="8" fillId="4" borderId="30" xfId="0" applyFont="1" applyFill="1" applyBorder="1" applyProtection="1">
      <protection hidden="1"/>
    </xf>
    <xf numFmtId="0" fontId="0" fillId="0" borderId="32" xfId="0" applyBorder="1" applyAlignment="1" applyProtection="1">
      <alignment horizontal="right"/>
      <protection hidden="1"/>
    </xf>
    <xf numFmtId="0" fontId="0" fillId="0" borderId="46" xfId="0" applyBorder="1" applyAlignment="1" applyProtection="1">
      <alignment horizontal="left"/>
      <protection hidden="1"/>
    </xf>
    <xf numFmtId="0" fontId="0" fillId="0" borderId="31" xfId="0" applyBorder="1" applyProtection="1">
      <protection hidden="1"/>
    </xf>
    <xf numFmtId="0" fontId="8" fillId="4" borderId="12" xfId="0" applyFont="1" applyFill="1" applyBorder="1" applyProtection="1">
      <protection hidden="1"/>
    </xf>
    <xf numFmtId="0" fontId="0" fillId="0" borderId="27" xfId="0" applyBorder="1" applyAlignment="1" applyProtection="1">
      <alignment horizontal="right"/>
      <protection hidden="1"/>
    </xf>
    <xf numFmtId="0" fontId="0" fillId="0" borderId="47" xfId="0" applyBorder="1" applyAlignment="1" applyProtection="1">
      <alignment horizontal="left"/>
      <protection hidden="1"/>
    </xf>
    <xf numFmtId="0" fontId="0" fillId="0" borderId="29" xfId="0" applyBorder="1" applyProtection="1">
      <protection hidden="1"/>
    </xf>
    <xf numFmtId="0" fontId="8" fillId="4" borderId="30" xfId="0" applyFont="1" applyFill="1" applyBorder="1" applyAlignment="1" applyProtection="1">
      <alignment vertical="center" wrapText="1"/>
      <protection hidden="1"/>
    </xf>
    <xf numFmtId="0" fontId="9" fillId="0" borderId="0" xfId="0" applyFont="1" applyAlignment="1" applyProtection="1">
      <alignment vertical="center"/>
      <protection hidden="1"/>
    </xf>
    <xf numFmtId="0" fontId="10" fillId="4" borderId="46" xfId="0" applyFont="1" applyFill="1" applyBorder="1" applyAlignment="1" applyProtection="1">
      <alignment horizontal="center" vertical="center" wrapText="1"/>
      <protection hidden="1"/>
    </xf>
    <xf numFmtId="0" fontId="8" fillId="4" borderId="45" xfId="0" applyFont="1" applyFill="1" applyBorder="1" applyProtection="1">
      <protection hidden="1"/>
    </xf>
    <xf numFmtId="0" fontId="8" fillId="4" borderId="0" xfId="0" applyFont="1" applyFill="1" applyProtection="1">
      <protection hidden="1"/>
    </xf>
    <xf numFmtId="0" fontId="8" fillId="4" borderId="48" xfId="0" applyFont="1" applyFill="1" applyBorder="1" applyProtection="1">
      <protection hidden="1"/>
    </xf>
    <xf numFmtId="0" fontId="12" fillId="4" borderId="45" xfId="0" applyFont="1" applyFill="1" applyBorder="1" applyAlignment="1" applyProtection="1">
      <alignment horizontal="center"/>
      <protection hidden="1"/>
    </xf>
    <xf numFmtId="0" fontId="12" fillId="4" borderId="0" xfId="0" applyFont="1" applyFill="1" applyAlignment="1" applyProtection="1">
      <alignment horizontal="center"/>
      <protection hidden="1"/>
    </xf>
    <xf numFmtId="0" fontId="12" fillId="4" borderId="48" xfId="0" applyFont="1" applyFill="1" applyBorder="1" applyAlignment="1" applyProtection="1">
      <alignment horizontal="center"/>
      <protection hidden="1"/>
    </xf>
    <xf numFmtId="0" fontId="8" fillId="4" borderId="27" xfId="0" applyFont="1" applyFill="1" applyBorder="1" applyProtection="1">
      <protection hidden="1"/>
    </xf>
    <xf numFmtId="0" fontId="8" fillId="4" borderId="47" xfId="0" applyFont="1" applyFill="1" applyBorder="1" applyProtection="1">
      <protection hidden="1"/>
    </xf>
    <xf numFmtId="0" fontId="8" fillId="4" borderId="29" xfId="0" applyFont="1" applyFill="1" applyBorder="1" applyProtection="1">
      <protection hidden="1"/>
    </xf>
    <xf numFmtId="0" fontId="0" fillId="13" borderId="32" xfId="0" applyFill="1" applyBorder="1" applyProtection="1">
      <protection hidden="1"/>
    </xf>
    <xf numFmtId="0" fontId="0" fillId="13" borderId="46" xfId="0" applyFill="1" applyBorder="1" applyProtection="1">
      <protection hidden="1"/>
    </xf>
    <xf numFmtId="0" fontId="0" fillId="13" borderId="0" xfId="0" applyFill="1" applyProtection="1">
      <protection hidden="1"/>
    </xf>
    <xf numFmtId="0" fontId="0" fillId="0" borderId="47" xfId="0" applyBorder="1" applyProtection="1">
      <protection hidden="1"/>
    </xf>
    <xf numFmtId="0" fontId="8" fillId="4" borderId="30" xfId="0" applyFont="1" applyFill="1" applyBorder="1" applyAlignment="1" applyProtection="1">
      <alignment vertical="top"/>
      <protection hidden="1"/>
    </xf>
    <xf numFmtId="0" fontId="0" fillId="0" borderId="0" xfId="0" applyAlignment="1" applyProtection="1">
      <alignment vertical="top"/>
      <protection hidden="1"/>
    </xf>
    <xf numFmtId="0" fontId="8" fillId="4" borderId="12" xfId="0" applyFont="1" applyFill="1" applyBorder="1" applyAlignment="1" applyProtection="1">
      <alignment horizontal="right" vertical="center"/>
      <protection hidden="1"/>
    </xf>
    <xf numFmtId="0" fontId="0" fillId="4" borderId="29" xfId="0" applyFill="1" applyBorder="1" applyAlignment="1" applyProtection="1">
      <alignment vertical="center"/>
      <protection hidden="1"/>
    </xf>
    <xf numFmtId="0" fontId="0" fillId="13" borderId="44" xfId="0" applyFill="1" applyBorder="1" applyProtection="1">
      <protection hidden="1"/>
    </xf>
    <xf numFmtId="0" fontId="0" fillId="0" borderId="48" xfId="0" applyBorder="1" applyAlignment="1" applyProtection="1">
      <alignment horizontal="left"/>
      <protection hidden="1"/>
    </xf>
    <xf numFmtId="0" fontId="0" fillId="0" borderId="32" xfId="0" applyBorder="1" applyAlignment="1" applyProtection="1">
      <alignment horizontal="center" vertical="center"/>
      <protection hidden="1"/>
    </xf>
    <xf numFmtId="0" fontId="0" fillId="0" borderId="46"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0" fillId="13" borderId="12" xfId="0" applyFill="1" applyBorder="1" applyProtection="1">
      <protection hidden="1"/>
    </xf>
    <xf numFmtId="0" fontId="0" fillId="0" borderId="29" xfId="0" applyBorder="1" applyAlignment="1" applyProtection="1">
      <alignment horizontal="left"/>
      <protection hidden="1"/>
    </xf>
    <xf numFmtId="0" fontId="0" fillId="0" borderId="27"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8" fillId="4" borderId="1" xfId="0" applyFont="1" applyFill="1" applyBorder="1" applyAlignment="1" applyProtection="1">
      <alignment vertical="center"/>
      <protection hidden="1"/>
    </xf>
    <xf numFmtId="0" fontId="8" fillId="4" borderId="6" xfId="0" applyFont="1" applyFill="1" applyBorder="1" applyAlignment="1" applyProtection="1">
      <alignment horizontal="center" vertical="center"/>
      <protection hidden="1"/>
    </xf>
    <xf numFmtId="0" fontId="6" fillId="14" borderId="11" xfId="0" applyFont="1" applyFill="1" applyBorder="1" applyProtection="1">
      <protection hidden="1"/>
    </xf>
    <xf numFmtId="0" fontId="6" fillId="14" borderId="7" xfId="0" applyFont="1" applyFill="1" applyBorder="1" applyProtection="1">
      <protection hidden="1"/>
    </xf>
    <xf numFmtId="0" fontId="6" fillId="18" borderId="1" xfId="0" applyFont="1" applyFill="1" applyBorder="1" applyProtection="1">
      <protection hidden="1"/>
    </xf>
    <xf numFmtId="0" fontId="0" fillId="18" borderId="6" xfId="0" applyFill="1" applyBorder="1" applyAlignment="1" applyProtection="1">
      <alignment horizontal="center"/>
      <protection hidden="1"/>
    </xf>
    <xf numFmtId="0" fontId="12" fillId="15" borderId="0" xfId="0" applyFont="1" applyFill="1" applyAlignment="1" applyProtection="1">
      <alignment vertical="top" wrapText="1"/>
      <protection hidden="1"/>
    </xf>
    <xf numFmtId="0" fontId="12" fillId="15" borderId="0" xfId="0" applyFont="1" applyFill="1" applyAlignment="1" applyProtection="1">
      <alignment vertical="center" wrapText="1"/>
      <protection hidden="1"/>
    </xf>
    <xf numFmtId="0" fontId="8" fillId="4" borderId="20" xfId="0" applyFont="1" applyFill="1" applyBorder="1" applyAlignment="1" applyProtection="1">
      <alignment vertical="center"/>
      <protection hidden="1"/>
    </xf>
    <xf numFmtId="0" fontId="8" fillId="4" borderId="20" xfId="0" applyFont="1" applyFill="1" applyBorder="1" applyAlignment="1" applyProtection="1">
      <alignment horizontal="center" vertical="center" wrapText="1"/>
      <protection hidden="1"/>
    </xf>
    <xf numFmtId="0" fontId="8" fillId="4" borderId="22" xfId="0" applyFont="1" applyFill="1" applyBorder="1" applyAlignment="1" applyProtection="1">
      <alignment horizontal="center" vertical="center" wrapText="1"/>
      <protection hidden="1"/>
    </xf>
    <xf numFmtId="0" fontId="8" fillId="4" borderId="16" xfId="0" applyFont="1" applyFill="1" applyBorder="1" applyAlignment="1" applyProtection="1">
      <alignment horizontal="center" vertical="center" wrapText="1"/>
      <protection hidden="1"/>
    </xf>
    <xf numFmtId="0" fontId="8" fillId="4" borderId="1" xfId="0" applyFont="1" applyFill="1" applyBorder="1" applyAlignment="1" applyProtection="1">
      <alignment horizontal="center" vertical="center" wrapText="1"/>
      <protection hidden="1"/>
    </xf>
    <xf numFmtId="0" fontId="8" fillId="15" borderId="0" xfId="0" applyFont="1" applyFill="1" applyProtection="1">
      <protection hidden="1"/>
    </xf>
    <xf numFmtId="0" fontId="6" fillId="14" borderId="17" xfId="0" applyFont="1" applyFill="1" applyBorder="1" applyProtection="1">
      <protection hidden="1"/>
    </xf>
    <xf numFmtId="0" fontId="6" fillId="14" borderId="2" xfId="0" applyFont="1" applyFill="1" applyBorder="1" applyProtection="1">
      <protection hidden="1"/>
    </xf>
    <xf numFmtId="0" fontId="6" fillId="15" borderId="0" xfId="0" applyFont="1" applyFill="1" applyAlignment="1" applyProtection="1">
      <alignment horizontal="right"/>
      <protection hidden="1"/>
    </xf>
    <xf numFmtId="0" fontId="1" fillId="15" borderId="0" xfId="0" applyFont="1" applyFill="1" applyProtection="1">
      <protection hidden="1"/>
    </xf>
    <xf numFmtId="0" fontId="13" fillId="15" borderId="0" xfId="0" applyFont="1" applyFill="1" applyProtection="1">
      <protection hidden="1"/>
    </xf>
    <xf numFmtId="0" fontId="8" fillId="4" borderId="22" xfId="0" applyFont="1" applyFill="1" applyBorder="1" applyAlignment="1" applyProtection="1">
      <alignment vertical="center"/>
      <protection hidden="1"/>
    </xf>
    <xf numFmtId="0" fontId="8" fillId="4" borderId="23" xfId="0" applyFont="1" applyFill="1" applyBorder="1" applyAlignment="1" applyProtection="1">
      <alignment horizontal="center" vertical="center" wrapText="1"/>
      <protection hidden="1"/>
    </xf>
    <xf numFmtId="0" fontId="8" fillId="4" borderId="24" xfId="0" applyFont="1" applyFill="1" applyBorder="1" applyAlignment="1" applyProtection="1">
      <alignment horizontal="center" vertical="center" wrapText="1"/>
      <protection hidden="1"/>
    </xf>
    <xf numFmtId="0" fontId="8" fillId="7" borderId="25" xfId="0" applyFont="1" applyFill="1" applyBorder="1" applyAlignment="1" applyProtection="1">
      <alignment horizontal="center" vertical="center" wrapText="1"/>
      <protection hidden="1"/>
    </xf>
    <xf numFmtId="0" fontId="6" fillId="14" borderId="19" xfId="0" applyFont="1" applyFill="1" applyBorder="1" applyProtection="1">
      <protection hidden="1"/>
    </xf>
    <xf numFmtId="2" fontId="0" fillId="12" borderId="15" xfId="0" applyNumberFormat="1" applyFill="1" applyBorder="1" applyAlignment="1" applyProtection="1">
      <alignment horizontal="center"/>
      <protection hidden="1"/>
    </xf>
    <xf numFmtId="2" fontId="0" fillId="12" borderId="14" xfId="0" applyNumberFormat="1" applyFill="1" applyBorder="1" applyAlignment="1" applyProtection="1">
      <alignment horizontal="center"/>
      <protection hidden="1"/>
    </xf>
    <xf numFmtId="2" fontId="0" fillId="14" borderId="8" xfId="0" applyNumberFormat="1" applyFill="1" applyBorder="1" applyAlignment="1" applyProtection="1">
      <alignment horizontal="center"/>
      <protection hidden="1"/>
    </xf>
    <xf numFmtId="2" fontId="0" fillId="15" borderId="0" xfId="0" applyNumberFormat="1" applyFill="1" applyProtection="1">
      <protection hidden="1"/>
    </xf>
    <xf numFmtId="0" fontId="6" fillId="14" borderId="3" xfId="0" applyFont="1" applyFill="1" applyBorder="1" applyProtection="1">
      <protection hidden="1"/>
    </xf>
    <xf numFmtId="165" fontId="0" fillId="12" borderId="2" xfId="0" applyNumberFormat="1" applyFill="1" applyBorder="1" applyAlignment="1" applyProtection="1">
      <alignment horizontal="center"/>
      <protection hidden="1"/>
    </xf>
    <xf numFmtId="165" fontId="0" fillId="12" borderId="13" xfId="0" applyNumberFormat="1" applyFill="1" applyBorder="1" applyAlignment="1" applyProtection="1">
      <alignment horizontal="center"/>
      <protection hidden="1"/>
    </xf>
    <xf numFmtId="165" fontId="0" fillId="14" borderId="3" xfId="0" applyNumberFormat="1" applyFill="1" applyBorder="1" applyAlignment="1" applyProtection="1">
      <alignment horizontal="center"/>
      <protection hidden="1"/>
    </xf>
    <xf numFmtId="2" fontId="0" fillId="12" borderId="2" xfId="0" applyNumberFormat="1" applyFill="1" applyBorder="1" applyAlignment="1" applyProtection="1">
      <alignment horizontal="center"/>
      <protection hidden="1"/>
    </xf>
    <xf numFmtId="2" fontId="0" fillId="12" borderId="13" xfId="0" applyNumberFormat="1" applyFill="1" applyBorder="1" applyAlignment="1" applyProtection="1">
      <alignment horizontal="center"/>
      <protection hidden="1"/>
    </xf>
    <xf numFmtId="2" fontId="0" fillId="14" borderId="3" xfId="0" applyNumberFormat="1" applyFill="1" applyBorder="1" applyAlignment="1" applyProtection="1">
      <alignment horizontal="center"/>
      <protection hidden="1"/>
    </xf>
    <xf numFmtId="0" fontId="6" fillId="14" borderId="36" xfId="0" applyFont="1" applyFill="1" applyBorder="1" applyProtection="1">
      <protection hidden="1"/>
    </xf>
    <xf numFmtId="0" fontId="6" fillId="14" borderId="37" xfId="0" applyFont="1" applyFill="1" applyBorder="1" applyProtection="1">
      <protection hidden="1"/>
    </xf>
    <xf numFmtId="165" fontId="0" fillId="12" borderId="38" xfId="0" applyNumberFormat="1" applyFill="1" applyBorder="1" applyAlignment="1" applyProtection="1">
      <alignment horizontal="center"/>
      <protection hidden="1"/>
    </xf>
    <xf numFmtId="165" fontId="0" fillId="14" borderId="37" xfId="0" applyNumberFormat="1" applyFill="1" applyBorder="1" applyAlignment="1" applyProtection="1">
      <alignment horizontal="center"/>
      <protection hidden="1"/>
    </xf>
    <xf numFmtId="2" fontId="0" fillId="12" borderId="36" xfId="0" applyNumberFormat="1" applyFill="1" applyBorder="1" applyAlignment="1" applyProtection="1">
      <alignment horizontal="center"/>
      <protection hidden="1"/>
    </xf>
    <xf numFmtId="2" fontId="0" fillId="12" borderId="38" xfId="0" applyNumberFormat="1" applyFill="1" applyBorder="1" applyAlignment="1" applyProtection="1">
      <alignment horizontal="center"/>
      <protection hidden="1"/>
    </xf>
    <xf numFmtId="2" fontId="0" fillId="14" borderId="37" xfId="0" applyNumberFormat="1" applyFill="1" applyBorder="1" applyAlignment="1" applyProtection="1">
      <alignment horizontal="center"/>
      <protection hidden="1"/>
    </xf>
    <xf numFmtId="0" fontId="6" fillId="18" borderId="20" xfId="0" applyFont="1" applyFill="1" applyBorder="1" applyProtection="1">
      <protection hidden="1"/>
    </xf>
    <xf numFmtId="0" fontId="6" fillId="18" borderId="21" xfId="0" applyFont="1" applyFill="1" applyBorder="1" applyProtection="1">
      <protection hidden="1"/>
    </xf>
    <xf numFmtId="165" fontId="6" fillId="18" borderId="39" xfId="0" applyNumberFormat="1" applyFont="1" applyFill="1" applyBorder="1" applyAlignment="1" applyProtection="1">
      <alignment horizontal="center"/>
      <protection hidden="1"/>
    </xf>
    <xf numFmtId="2" fontId="6" fillId="18" borderId="40" xfId="0" applyNumberFormat="1" applyFont="1" applyFill="1" applyBorder="1" applyAlignment="1" applyProtection="1">
      <alignment horizontal="center"/>
      <protection hidden="1"/>
    </xf>
    <xf numFmtId="2" fontId="6" fillId="18" borderId="39" xfId="0" applyNumberFormat="1" applyFont="1" applyFill="1" applyBorder="1" applyAlignment="1" applyProtection="1">
      <alignment horizontal="center"/>
      <protection hidden="1"/>
    </xf>
    <xf numFmtId="2" fontId="6" fillId="18" borderId="22" xfId="0" applyNumberFormat="1" applyFont="1" applyFill="1" applyBorder="1" applyAlignment="1" applyProtection="1">
      <alignment horizontal="center"/>
      <protection hidden="1"/>
    </xf>
    <xf numFmtId="0" fontId="0" fillId="15" borderId="0" xfId="0" applyFill="1" applyAlignment="1" applyProtection="1">
      <alignment horizontal="center"/>
      <protection hidden="1"/>
    </xf>
    <xf numFmtId="0" fontId="0" fillId="0" borderId="28" xfId="0" applyBorder="1" applyAlignment="1" applyProtection="1">
      <alignment horizontal="center"/>
      <protection locked="0" hidden="1"/>
    </xf>
    <xf numFmtId="0" fontId="0" fillId="0" borderId="41" xfId="0" applyBorder="1" applyAlignment="1" applyProtection="1">
      <alignment horizontal="center"/>
      <protection locked="0" hidden="1"/>
    </xf>
    <xf numFmtId="0" fontId="0" fillId="0" borderId="42" xfId="0" applyBorder="1" applyAlignment="1" applyProtection="1">
      <alignment horizontal="center"/>
      <protection locked="0" hidden="1"/>
    </xf>
    <xf numFmtId="0" fontId="8" fillId="4" borderId="16" xfId="0" applyFont="1" applyFill="1" applyBorder="1" applyAlignment="1" applyProtection="1">
      <alignment vertical="center"/>
      <protection hidden="1"/>
    </xf>
    <xf numFmtId="0" fontId="6" fillId="18" borderId="16" xfId="0" applyFont="1" applyFill="1" applyBorder="1" applyProtection="1">
      <protection hidden="1"/>
    </xf>
    <xf numFmtId="0" fontId="0" fillId="0" borderId="46" xfId="0" applyBorder="1" applyProtection="1">
      <protection hidden="1"/>
    </xf>
    <xf numFmtId="165" fontId="0" fillId="0" borderId="0" xfId="0" quotePrefix="1" applyNumberFormat="1" applyAlignment="1">
      <alignment horizontal="center"/>
    </xf>
    <xf numFmtId="2" fontId="0" fillId="0" borderId="0" xfId="0" quotePrefix="1" applyNumberFormat="1" applyAlignment="1">
      <alignment horizontal="left"/>
    </xf>
    <xf numFmtId="9" fontId="0" fillId="0" borderId="0" xfId="1" applyFont="1"/>
    <xf numFmtId="0" fontId="0" fillId="3" borderId="0" xfId="0" applyFill="1" applyAlignment="1">
      <alignment horizontal="center" vertical="center" wrapText="1"/>
    </xf>
    <xf numFmtId="0" fontId="28" fillId="2" borderId="0" xfId="0" applyFont="1" applyFill="1" applyProtection="1">
      <protection hidden="1"/>
    </xf>
    <xf numFmtId="0" fontId="28" fillId="15" borderId="0" xfId="0" applyFont="1" applyFill="1" applyProtection="1">
      <protection hidden="1"/>
    </xf>
    <xf numFmtId="0" fontId="28" fillId="15" borderId="0" xfId="0" applyFont="1" applyFill="1" applyAlignment="1" applyProtection="1">
      <alignment horizontal="center"/>
      <protection hidden="1"/>
    </xf>
    <xf numFmtId="0" fontId="28" fillId="15" borderId="0" xfId="0" applyFont="1" applyFill="1" applyAlignment="1" applyProtection="1">
      <alignment horizontal="center" vertical="top"/>
      <protection hidden="1"/>
    </xf>
    <xf numFmtId="0" fontId="0" fillId="15" borderId="0" xfId="0" applyFill="1"/>
    <xf numFmtId="0" fontId="8" fillId="4" borderId="32" xfId="0" applyFont="1" applyFill="1" applyBorder="1" applyAlignment="1" applyProtection="1">
      <alignment horizontal="right" vertical="center"/>
      <protection hidden="1"/>
    </xf>
    <xf numFmtId="1" fontId="0" fillId="0" borderId="2" xfId="0" applyNumberFormat="1" applyBorder="1" applyAlignment="1" applyProtection="1">
      <alignment horizontal="center"/>
      <protection hidden="1"/>
    </xf>
    <xf numFmtId="1" fontId="6" fillId="18" borderId="20" xfId="0" applyNumberFormat="1" applyFont="1" applyFill="1" applyBorder="1" applyAlignment="1" applyProtection="1">
      <alignment horizontal="center"/>
      <protection hidden="1"/>
    </xf>
    <xf numFmtId="1" fontId="6" fillId="18" borderId="22" xfId="0" applyNumberFormat="1" applyFont="1" applyFill="1" applyBorder="1" applyAlignment="1" applyProtection="1">
      <alignment horizontal="center"/>
      <protection hidden="1"/>
    </xf>
    <xf numFmtId="165" fontId="0" fillId="15" borderId="39" xfId="0" applyNumberFormat="1" applyFill="1" applyBorder="1" applyAlignment="1" applyProtection="1">
      <alignment horizontal="center" vertical="center"/>
      <protection hidden="1"/>
    </xf>
    <xf numFmtId="0" fontId="8" fillId="4" borderId="1" xfId="0" applyFont="1" applyFill="1" applyBorder="1" applyAlignment="1" applyProtection="1">
      <alignment horizontal="center" vertical="center"/>
      <protection hidden="1"/>
    </xf>
    <xf numFmtId="0" fontId="0" fillId="15" borderId="32" xfId="0" applyFill="1" applyBorder="1"/>
    <xf numFmtId="0" fontId="0" fillId="15" borderId="46" xfId="0" applyFill="1" applyBorder="1"/>
    <xf numFmtId="0" fontId="0" fillId="15" borderId="31" xfId="0" applyFill="1" applyBorder="1"/>
    <xf numFmtId="0" fontId="0" fillId="15" borderId="45" xfId="0" applyFill="1" applyBorder="1"/>
    <xf numFmtId="0" fontId="0" fillId="15" borderId="48" xfId="0" applyFill="1" applyBorder="1"/>
    <xf numFmtId="0" fontId="0" fillId="15" borderId="27" xfId="0" applyFill="1" applyBorder="1"/>
    <xf numFmtId="0" fontId="0" fillId="15" borderId="47" xfId="0" applyFill="1" applyBorder="1"/>
    <xf numFmtId="0" fontId="0" fillId="15" borderId="29" xfId="0" applyFill="1" applyBorder="1"/>
    <xf numFmtId="2" fontId="0" fillId="15" borderId="0" xfId="0" applyNumberFormat="1" applyFill="1"/>
    <xf numFmtId="0" fontId="8" fillId="15" borderId="0" xfId="0" applyFont="1" applyFill="1" applyAlignment="1" applyProtection="1">
      <alignment horizontal="center" vertical="center" wrapText="1"/>
      <protection hidden="1"/>
    </xf>
    <xf numFmtId="165" fontId="6" fillId="18" borderId="21" xfId="0" applyNumberFormat="1" applyFont="1" applyFill="1" applyBorder="1" applyAlignment="1" applyProtection="1">
      <alignment horizontal="center"/>
      <protection hidden="1"/>
    </xf>
    <xf numFmtId="0" fontId="6" fillId="14" borderId="33" xfId="0" applyFont="1" applyFill="1" applyBorder="1"/>
    <xf numFmtId="2" fontId="0" fillId="0" borderId="0" xfId="0" applyNumberFormat="1" applyProtection="1">
      <protection hidden="1"/>
    </xf>
    <xf numFmtId="164" fontId="0" fillId="0" borderId="0" xfId="0" applyNumberFormat="1" applyProtection="1">
      <protection hidden="1"/>
    </xf>
    <xf numFmtId="0" fontId="0" fillId="0" borderId="45" xfId="0" applyBorder="1" applyProtection="1">
      <protection hidden="1"/>
    </xf>
    <xf numFmtId="0" fontId="0" fillId="0" borderId="27" xfId="0" applyBorder="1" applyProtection="1">
      <protection hidden="1"/>
    </xf>
    <xf numFmtId="167" fontId="0" fillId="0" borderId="0" xfId="0" applyNumberFormat="1" applyAlignment="1" applyProtection="1">
      <alignment horizontal="center"/>
      <protection hidden="1"/>
    </xf>
    <xf numFmtId="2" fontId="6" fillId="18" borderId="16" xfId="0" applyNumberFormat="1" applyFont="1" applyFill="1" applyBorder="1" applyAlignment="1" applyProtection="1">
      <alignment horizontal="center"/>
      <protection hidden="1"/>
    </xf>
    <xf numFmtId="0" fontId="0" fillId="0" borderId="32" xfId="0" applyBorder="1" applyAlignment="1" applyProtection="1">
      <alignment horizontal="center"/>
      <protection hidden="1"/>
    </xf>
    <xf numFmtId="0" fontId="0" fillId="0" borderId="45" xfId="0" applyBorder="1" applyAlignment="1">
      <alignment horizontal="center"/>
    </xf>
    <xf numFmtId="2" fontId="0" fillId="0" borderId="46" xfId="0" applyNumberFormat="1" applyBorder="1" applyAlignment="1" applyProtection="1">
      <alignment horizontal="center"/>
      <protection hidden="1"/>
    </xf>
    <xf numFmtId="2" fontId="0" fillId="0" borderId="45" xfId="0" applyNumberFormat="1" applyBorder="1" applyAlignment="1" applyProtection="1">
      <alignment horizontal="center"/>
      <protection hidden="1"/>
    </xf>
    <xf numFmtId="2" fontId="0" fillId="0" borderId="27" xfId="0" applyNumberFormat="1" applyBorder="1" applyAlignment="1" applyProtection="1">
      <alignment horizontal="center"/>
      <protection hidden="1"/>
    </xf>
    <xf numFmtId="0" fontId="8" fillId="4" borderId="40" xfId="0" applyFont="1" applyFill="1" applyBorder="1" applyAlignment="1" applyProtection="1">
      <alignment horizontal="center" vertical="center" wrapText="1"/>
      <protection hidden="1"/>
    </xf>
    <xf numFmtId="165" fontId="0" fillId="12" borderId="62" xfId="0" applyNumberFormat="1" applyFill="1" applyBorder="1" applyAlignment="1" applyProtection="1">
      <alignment horizontal="center"/>
      <protection hidden="1"/>
    </xf>
    <xf numFmtId="165" fontId="0" fillId="12" borderId="17" xfId="0" applyNumberFormat="1" applyFill="1" applyBorder="1" applyAlignment="1" applyProtection="1">
      <alignment horizontal="center"/>
      <protection hidden="1"/>
    </xf>
    <xf numFmtId="165" fontId="0" fillId="14" borderId="19" xfId="0" applyNumberFormat="1" applyFill="1" applyBorder="1" applyAlignment="1" applyProtection="1">
      <alignment horizontal="center"/>
      <protection hidden="1"/>
    </xf>
    <xf numFmtId="0" fontId="8" fillId="4" borderId="39" xfId="0" applyFont="1" applyFill="1" applyBorder="1" applyAlignment="1" applyProtection="1">
      <alignment horizontal="center" vertical="center" wrapText="1"/>
      <protection hidden="1"/>
    </xf>
    <xf numFmtId="0" fontId="8" fillId="7" borderId="22" xfId="0" applyFont="1" applyFill="1" applyBorder="1" applyAlignment="1" applyProtection="1">
      <alignment horizontal="center" vertical="center" wrapText="1"/>
      <protection hidden="1"/>
    </xf>
    <xf numFmtId="0" fontId="8" fillId="4" borderId="39" xfId="0" applyFont="1" applyFill="1" applyBorder="1" applyAlignment="1" applyProtection="1">
      <alignment vertical="center"/>
      <protection hidden="1"/>
    </xf>
    <xf numFmtId="165" fontId="0" fillId="12" borderId="54" xfId="0" applyNumberFormat="1" applyFill="1" applyBorder="1" applyAlignment="1" applyProtection="1">
      <alignment horizontal="center"/>
      <protection hidden="1"/>
    </xf>
    <xf numFmtId="165" fontId="0" fillId="12" borderId="57" xfId="0" applyNumberFormat="1" applyFill="1" applyBorder="1" applyAlignment="1" applyProtection="1">
      <alignment horizontal="center"/>
      <protection hidden="1"/>
    </xf>
    <xf numFmtId="165" fontId="0" fillId="12" borderId="52" xfId="0" applyNumberFormat="1" applyFill="1" applyBorder="1" applyAlignment="1" applyProtection="1">
      <alignment horizontal="center"/>
      <protection hidden="1"/>
    </xf>
    <xf numFmtId="0" fontId="6" fillId="18" borderId="64" xfId="0" applyFont="1" applyFill="1" applyBorder="1" applyProtection="1">
      <protection hidden="1"/>
    </xf>
    <xf numFmtId="0" fontId="6" fillId="18" borderId="65" xfId="0" applyFont="1" applyFill="1" applyBorder="1" applyProtection="1">
      <protection hidden="1"/>
    </xf>
    <xf numFmtId="0" fontId="6" fillId="18" borderId="47" xfId="0" applyFont="1" applyFill="1" applyBorder="1" applyProtection="1">
      <protection hidden="1"/>
    </xf>
    <xf numFmtId="0" fontId="6" fillId="14" borderId="13" xfId="0" applyFont="1" applyFill="1" applyBorder="1" applyProtection="1">
      <protection hidden="1"/>
    </xf>
    <xf numFmtId="0" fontId="6" fillId="14" borderId="4" xfId="0" applyFont="1" applyFill="1" applyBorder="1" applyProtection="1">
      <protection hidden="1"/>
    </xf>
    <xf numFmtId="0" fontId="6" fillId="14" borderId="55" xfId="0" applyFont="1" applyFill="1" applyBorder="1" applyProtection="1">
      <protection hidden="1"/>
    </xf>
    <xf numFmtId="0" fontId="6" fillId="14" borderId="62" xfId="0" applyFont="1" applyFill="1" applyBorder="1" applyProtection="1">
      <protection hidden="1"/>
    </xf>
    <xf numFmtId="2" fontId="0" fillId="14" borderId="15" xfId="0" applyNumberFormat="1" applyFill="1" applyBorder="1" applyAlignment="1" applyProtection="1">
      <alignment horizontal="center"/>
      <protection hidden="1"/>
    </xf>
    <xf numFmtId="0" fontId="0" fillId="14" borderId="8" xfId="0" applyFill="1" applyBorder="1" applyAlignment="1" applyProtection="1">
      <alignment horizontal="center"/>
      <protection hidden="1"/>
    </xf>
    <xf numFmtId="2" fontId="0" fillId="14" borderId="2" xfId="0" applyNumberFormat="1" applyFill="1" applyBorder="1" applyAlignment="1" applyProtection="1">
      <alignment horizontal="center"/>
      <protection hidden="1"/>
    </xf>
    <xf numFmtId="0" fontId="0" fillId="14" borderId="3" xfId="0" applyFill="1" applyBorder="1" applyAlignment="1" applyProtection="1">
      <alignment horizontal="center"/>
      <protection hidden="1"/>
    </xf>
    <xf numFmtId="2" fontId="0" fillId="14" borderId="4" xfId="0" applyNumberFormat="1" applyFill="1" applyBorder="1" applyAlignment="1" applyProtection="1">
      <alignment horizontal="center"/>
      <protection hidden="1"/>
    </xf>
    <xf numFmtId="0" fontId="0" fillId="14" borderId="5" xfId="0" applyFill="1" applyBorder="1" applyAlignment="1" applyProtection="1">
      <alignment horizontal="center"/>
      <protection hidden="1"/>
    </xf>
    <xf numFmtId="0" fontId="0" fillId="18" borderId="22" xfId="0" applyFill="1" applyBorder="1" applyAlignment="1" applyProtection="1">
      <alignment horizontal="center"/>
      <protection hidden="1"/>
    </xf>
    <xf numFmtId="165" fontId="0" fillId="12" borderId="3" xfId="0" applyNumberFormat="1" applyFill="1" applyBorder="1" applyAlignment="1" applyProtection="1">
      <alignment horizontal="center"/>
      <protection hidden="1"/>
    </xf>
    <xf numFmtId="165" fontId="0" fillId="12" borderId="4" xfId="0" applyNumberFormat="1" applyFill="1" applyBorder="1" applyAlignment="1" applyProtection="1">
      <alignment horizontal="center"/>
      <protection hidden="1"/>
    </xf>
    <xf numFmtId="165" fontId="0" fillId="12" borderId="55" xfId="0" applyNumberFormat="1" applyFill="1" applyBorder="1" applyAlignment="1" applyProtection="1">
      <alignment horizontal="center"/>
      <protection hidden="1"/>
    </xf>
    <xf numFmtId="165" fontId="0" fillId="12" borderId="5" xfId="0" applyNumberFormat="1" applyFill="1" applyBorder="1" applyAlignment="1" applyProtection="1">
      <alignment horizontal="center"/>
      <protection hidden="1"/>
    </xf>
    <xf numFmtId="165" fontId="0" fillId="12" borderId="19" xfId="0" applyNumberFormat="1" applyFill="1" applyBorder="1" applyAlignment="1" applyProtection="1">
      <alignment horizontal="center"/>
      <protection hidden="1"/>
    </xf>
    <xf numFmtId="0" fontId="8" fillId="4" borderId="20" xfId="0" applyFont="1" applyFill="1" applyBorder="1" applyAlignment="1" applyProtection="1">
      <alignment horizontal="center" vertical="center"/>
      <protection hidden="1"/>
    </xf>
    <xf numFmtId="0" fontId="8" fillId="4" borderId="39" xfId="0" applyFont="1" applyFill="1" applyBorder="1" applyAlignment="1" applyProtection="1">
      <alignment horizontal="center" vertical="center"/>
      <protection hidden="1"/>
    </xf>
    <xf numFmtId="0" fontId="8" fillId="4" borderId="22" xfId="0" applyFont="1" applyFill="1" applyBorder="1" applyAlignment="1" applyProtection="1">
      <alignment horizontal="center" vertical="center"/>
      <protection hidden="1"/>
    </xf>
    <xf numFmtId="0" fontId="8" fillId="4" borderId="32" xfId="0" applyFont="1" applyFill="1" applyBorder="1" applyAlignment="1" applyProtection="1">
      <alignment horizontal="left" vertical="center"/>
      <protection hidden="1"/>
    </xf>
    <xf numFmtId="0" fontId="0" fillId="15" borderId="45" xfId="0" applyFill="1" applyBorder="1" applyAlignment="1" applyProtection="1">
      <alignment horizontal="right"/>
      <protection hidden="1"/>
    </xf>
    <xf numFmtId="2" fontId="0" fillId="15" borderId="3" xfId="0" applyNumberFormat="1" applyFill="1" applyBorder="1" applyAlignment="1" applyProtection="1">
      <alignment horizontal="center"/>
      <protection hidden="1"/>
    </xf>
    <xf numFmtId="1" fontId="0" fillId="15" borderId="2" xfId="0" applyNumberFormat="1" applyFill="1" applyBorder="1" applyAlignment="1" applyProtection="1">
      <alignment horizontal="center"/>
      <protection hidden="1"/>
    </xf>
    <xf numFmtId="1" fontId="0" fillId="15" borderId="3" xfId="0" applyNumberFormat="1" applyFill="1" applyBorder="1" applyAlignment="1" applyProtection="1">
      <alignment horizontal="center"/>
      <protection hidden="1"/>
    </xf>
    <xf numFmtId="2" fontId="0" fillId="15" borderId="2" xfId="0" applyNumberFormat="1" applyFill="1" applyBorder="1" applyAlignment="1" applyProtection="1">
      <alignment horizontal="center"/>
      <protection hidden="1"/>
    </xf>
    <xf numFmtId="1" fontId="0" fillId="15" borderId="17" xfId="0" applyNumberFormat="1" applyFill="1" applyBorder="1" applyAlignment="1" applyProtection="1">
      <alignment horizontal="center"/>
      <protection hidden="1"/>
    </xf>
    <xf numFmtId="1" fontId="0" fillId="15" borderId="19" xfId="0" applyNumberFormat="1" applyFill="1" applyBorder="1" applyAlignment="1" applyProtection="1">
      <alignment horizontal="center"/>
      <protection hidden="1"/>
    </xf>
    <xf numFmtId="2" fontId="0" fillId="15" borderId="17" xfId="0" applyNumberFormat="1" applyFill="1" applyBorder="1" applyAlignment="1" applyProtection="1">
      <alignment horizontal="center"/>
      <protection hidden="1"/>
    </xf>
    <xf numFmtId="2" fontId="0" fillId="15" borderId="19" xfId="0" applyNumberFormat="1" applyFill="1" applyBorder="1" applyAlignment="1" applyProtection="1">
      <alignment horizontal="center"/>
      <protection hidden="1"/>
    </xf>
    <xf numFmtId="1" fontId="0" fillId="15" borderId="36" xfId="0" applyNumberFormat="1" applyFill="1" applyBorder="1" applyAlignment="1" applyProtection="1">
      <alignment horizontal="center"/>
      <protection hidden="1"/>
    </xf>
    <xf numFmtId="1" fontId="0" fillId="15" borderId="37" xfId="0" applyNumberFormat="1" applyFill="1" applyBorder="1" applyAlignment="1" applyProtection="1">
      <alignment horizontal="center"/>
      <protection hidden="1"/>
    </xf>
    <xf numFmtId="2" fontId="0" fillId="15" borderId="36" xfId="0" applyNumberFormat="1" applyFill="1" applyBorder="1" applyAlignment="1" applyProtection="1">
      <alignment horizontal="center"/>
      <protection hidden="1"/>
    </xf>
    <xf numFmtId="2" fontId="0" fillId="15" borderId="37" xfId="0" applyNumberFormat="1" applyFill="1" applyBorder="1" applyAlignment="1" applyProtection="1">
      <alignment horizontal="center"/>
      <protection hidden="1"/>
    </xf>
    <xf numFmtId="0" fontId="0" fillId="0" borderId="7" xfId="0" applyBorder="1" applyAlignment="1" applyProtection="1">
      <alignment horizontal="center"/>
      <protection hidden="1"/>
    </xf>
    <xf numFmtId="0" fontId="0" fillId="0" borderId="61" xfId="0" applyBorder="1" applyAlignment="1" applyProtection="1">
      <alignment horizontal="center"/>
      <protection hidden="1"/>
    </xf>
    <xf numFmtId="0" fontId="0" fillId="0" borderId="43" xfId="0" applyBorder="1" applyAlignment="1" applyProtection="1">
      <alignment horizontal="center"/>
      <protection hidden="1"/>
    </xf>
    <xf numFmtId="1" fontId="0" fillId="0" borderId="17" xfId="0" applyNumberFormat="1" applyBorder="1" applyAlignment="1" applyProtection="1">
      <alignment horizontal="center"/>
      <protection hidden="1"/>
    </xf>
    <xf numFmtId="0" fontId="0" fillId="0" borderId="62" xfId="0" applyBorder="1" applyAlignment="1" applyProtection="1">
      <alignment horizontal="center"/>
      <protection hidden="1"/>
    </xf>
    <xf numFmtId="0" fontId="8" fillId="4" borderId="59" xfId="0" applyFont="1" applyFill="1" applyBorder="1" applyAlignment="1" applyProtection="1">
      <alignment horizontal="center" vertical="top" wrapText="1"/>
      <protection hidden="1"/>
    </xf>
    <xf numFmtId="0" fontId="8" fillId="4" borderId="63" xfId="0" applyFont="1" applyFill="1" applyBorder="1" applyAlignment="1" applyProtection="1">
      <alignment horizontal="center" vertical="top" wrapText="1"/>
      <protection hidden="1"/>
    </xf>
    <xf numFmtId="0" fontId="8" fillId="4" borderId="64" xfId="0" applyFont="1" applyFill="1" applyBorder="1" applyAlignment="1" applyProtection="1">
      <alignment horizontal="center"/>
      <protection hidden="1"/>
    </xf>
    <xf numFmtId="0" fontId="8" fillId="4" borderId="69" xfId="0" applyFont="1" applyFill="1" applyBorder="1" applyAlignment="1" applyProtection="1">
      <alignment horizontal="center"/>
      <protection hidden="1"/>
    </xf>
    <xf numFmtId="0" fontId="0" fillId="0" borderId="38" xfId="0" applyBorder="1" applyAlignment="1" applyProtection="1">
      <alignment horizontal="center"/>
      <protection hidden="1"/>
    </xf>
    <xf numFmtId="1" fontId="0" fillId="0" borderId="36" xfId="0" applyNumberFormat="1" applyBorder="1" applyAlignment="1" applyProtection="1">
      <alignment horizontal="center"/>
      <protection hidden="1"/>
    </xf>
    <xf numFmtId="0" fontId="6" fillId="18" borderId="21" xfId="0" applyFont="1" applyFill="1" applyBorder="1" applyAlignment="1" applyProtection="1">
      <alignment horizontal="center"/>
      <protection hidden="1"/>
    </xf>
    <xf numFmtId="0" fontId="6" fillId="18" borderId="40" xfId="0" applyFont="1" applyFill="1" applyBorder="1" applyAlignment="1" applyProtection="1">
      <alignment horizontal="center"/>
      <protection hidden="1"/>
    </xf>
    <xf numFmtId="0" fontId="8" fillId="4" borderId="63" xfId="0" applyFont="1" applyFill="1" applyBorder="1" applyAlignment="1" applyProtection="1">
      <alignment horizontal="center" vertical="center" wrapText="1"/>
      <protection hidden="1"/>
    </xf>
    <xf numFmtId="0" fontId="8" fillId="4" borderId="27" xfId="0" applyFont="1" applyFill="1" applyBorder="1" applyAlignment="1" applyProtection="1">
      <alignment horizontal="right" vertical="center"/>
      <protection hidden="1"/>
    </xf>
    <xf numFmtId="0" fontId="8" fillId="4" borderId="69" xfId="0" applyFont="1" applyFill="1" applyBorder="1" applyAlignment="1" applyProtection="1">
      <alignment horizontal="center" vertical="center" wrapText="1"/>
      <protection hidden="1"/>
    </xf>
    <xf numFmtId="0" fontId="8" fillId="4" borderId="69" xfId="0" applyFont="1" applyFill="1" applyBorder="1" applyAlignment="1" applyProtection="1">
      <alignment horizontal="center" vertical="center"/>
      <protection hidden="1"/>
    </xf>
    <xf numFmtId="0" fontId="0" fillId="15" borderId="22" xfId="0" applyFill="1" applyBorder="1" applyAlignment="1" applyProtection="1">
      <alignment horizontal="center"/>
      <protection hidden="1"/>
    </xf>
    <xf numFmtId="0" fontId="8" fillId="7" borderId="20" xfId="0" applyFont="1" applyFill="1" applyBorder="1" applyAlignment="1" applyProtection="1">
      <alignment horizontal="center" vertical="center"/>
      <protection hidden="1"/>
    </xf>
    <xf numFmtId="0" fontId="8" fillId="7" borderId="22" xfId="0" applyFont="1" applyFill="1" applyBorder="1" applyAlignment="1" applyProtection="1">
      <alignment horizontal="center" vertical="center"/>
      <protection hidden="1"/>
    </xf>
    <xf numFmtId="0" fontId="10" fillId="4" borderId="32" xfId="0" applyFont="1" applyFill="1" applyBorder="1" applyAlignment="1" applyProtection="1">
      <alignment horizontal="center" vertical="center"/>
      <protection hidden="1"/>
    </xf>
    <xf numFmtId="0" fontId="10" fillId="4" borderId="31" xfId="0" applyFont="1" applyFill="1" applyBorder="1" applyAlignment="1" applyProtection="1">
      <alignment horizontal="center" vertical="center"/>
      <protection hidden="1"/>
    </xf>
    <xf numFmtId="0" fontId="12" fillId="4" borderId="29" xfId="0" applyFont="1" applyFill="1" applyBorder="1" applyAlignment="1" applyProtection="1">
      <alignment horizontal="left"/>
      <protection hidden="1"/>
    </xf>
    <xf numFmtId="0" fontId="6" fillId="14" borderId="5" xfId="0" applyFont="1" applyFill="1" applyBorder="1" applyProtection="1">
      <protection hidden="1"/>
    </xf>
    <xf numFmtId="0" fontId="6" fillId="14" borderId="11" xfId="0" applyFont="1" applyFill="1" applyBorder="1" applyProtection="1">
      <protection locked="0" hidden="1"/>
    </xf>
    <xf numFmtId="0" fontId="6" fillId="14" borderId="7" xfId="0" applyFont="1" applyFill="1" applyBorder="1" applyProtection="1">
      <protection locked="0" hidden="1"/>
    </xf>
    <xf numFmtId="0" fontId="6" fillId="14" borderId="43" xfId="0" applyFont="1" applyFill="1" applyBorder="1" applyProtection="1">
      <protection locked="0" hidden="1"/>
    </xf>
    <xf numFmtId="0" fontId="6" fillId="14" borderId="17" xfId="0" applyFont="1" applyFill="1" applyBorder="1" applyProtection="1">
      <protection locked="0" hidden="1"/>
    </xf>
    <xf numFmtId="0" fontId="6" fillId="14" borderId="62" xfId="0" applyFont="1" applyFill="1" applyBorder="1" applyProtection="1">
      <protection locked="0" hidden="1"/>
    </xf>
    <xf numFmtId="0" fontId="6" fillId="14" borderId="2" xfId="0" applyFont="1" applyFill="1" applyBorder="1" applyProtection="1">
      <protection locked="0" hidden="1"/>
    </xf>
    <xf numFmtId="0" fontId="6" fillId="14" borderId="13" xfId="0" applyFont="1" applyFill="1" applyBorder="1" applyProtection="1">
      <protection locked="0" hidden="1"/>
    </xf>
    <xf numFmtId="0" fontId="6" fillId="14" borderId="4" xfId="0" applyFont="1" applyFill="1" applyBorder="1" applyProtection="1">
      <protection locked="0" hidden="1"/>
    </xf>
    <xf numFmtId="0" fontId="6" fillId="14" borderId="55" xfId="0" applyFont="1" applyFill="1" applyBorder="1" applyProtection="1">
      <protection locked="0" hidden="1"/>
    </xf>
    <xf numFmtId="0" fontId="0" fillId="0" borderId="54" xfId="0" applyBorder="1" applyAlignment="1" applyProtection="1">
      <alignment horizontal="center"/>
      <protection locked="0" hidden="1"/>
    </xf>
    <xf numFmtId="0" fontId="0" fillId="0" borderId="19" xfId="0" applyBorder="1" applyAlignment="1" applyProtection="1">
      <alignment horizontal="center"/>
      <protection locked="0" hidden="1"/>
    </xf>
    <xf numFmtId="0" fontId="0" fillId="0" borderId="57" xfId="0" applyBorder="1" applyAlignment="1" applyProtection="1">
      <alignment horizontal="center"/>
      <protection locked="0" hidden="1"/>
    </xf>
    <xf numFmtId="0" fontId="0" fillId="0" borderId="3" xfId="0" applyBorder="1" applyAlignment="1" applyProtection="1">
      <alignment horizontal="center"/>
      <protection locked="0" hidden="1"/>
    </xf>
    <xf numFmtId="0" fontId="0" fillId="0" borderId="58" xfId="0" applyBorder="1" applyAlignment="1" applyProtection="1">
      <alignment horizontal="center"/>
      <protection locked="0" hidden="1"/>
    </xf>
    <xf numFmtId="0" fontId="0" fillId="0" borderId="5" xfId="0" applyBorder="1" applyAlignment="1" applyProtection="1">
      <alignment horizontal="center"/>
      <protection locked="0" hidden="1"/>
    </xf>
    <xf numFmtId="0" fontId="0" fillId="15" borderId="33" xfId="0" applyFill="1" applyBorder="1" applyAlignment="1" applyProtection="1">
      <alignment horizontal="center"/>
      <protection locked="0" hidden="1"/>
    </xf>
    <xf numFmtId="0" fontId="0" fillId="15" borderId="34" xfId="0" applyFill="1" applyBorder="1" applyAlignment="1" applyProtection="1">
      <alignment horizontal="center"/>
      <protection locked="0" hidden="1"/>
    </xf>
    <xf numFmtId="0" fontId="0" fillId="15" borderId="35" xfId="0" applyFill="1" applyBorder="1" applyAlignment="1" applyProtection="1">
      <alignment horizontal="center"/>
      <protection locked="0" hidden="1"/>
    </xf>
    <xf numFmtId="0" fontId="25" fillId="20" borderId="50" xfId="0" applyFont="1" applyFill="1" applyBorder="1" applyAlignment="1" applyProtection="1">
      <alignment horizontal="center" vertical="center" wrapText="1"/>
      <protection hidden="1"/>
    </xf>
    <xf numFmtId="0" fontId="25" fillId="20" borderId="51" xfId="0" applyFont="1" applyFill="1" applyBorder="1" applyAlignment="1" applyProtection="1">
      <alignment horizontal="center" vertical="center" wrapText="1"/>
      <protection hidden="1"/>
    </xf>
    <xf numFmtId="0" fontId="25" fillId="20" borderId="52" xfId="0" applyFont="1" applyFill="1" applyBorder="1" applyAlignment="1" applyProtection="1">
      <alignment horizontal="center" vertical="center" wrapText="1"/>
      <protection hidden="1"/>
    </xf>
    <xf numFmtId="0" fontId="25" fillId="20" borderId="53" xfId="0" applyFont="1" applyFill="1" applyBorder="1" applyAlignment="1" applyProtection="1">
      <alignment horizontal="center" vertical="center" wrapText="1"/>
      <protection hidden="1"/>
    </xf>
    <xf numFmtId="0" fontId="25" fillId="20" borderId="0" xfId="0" applyFont="1" applyFill="1" applyAlignment="1" applyProtection="1">
      <alignment horizontal="center" vertical="center" wrapText="1"/>
      <protection hidden="1"/>
    </xf>
    <xf numFmtId="0" fontId="25" fillId="20" borderId="23" xfId="0" applyFont="1" applyFill="1" applyBorder="1" applyAlignment="1" applyProtection="1">
      <alignment horizontal="center" vertical="center" wrapText="1"/>
      <protection hidden="1"/>
    </xf>
    <xf numFmtId="0" fontId="25" fillId="20" borderId="18" xfId="0" applyFont="1" applyFill="1" applyBorder="1" applyAlignment="1" applyProtection="1">
      <alignment horizontal="center" vertical="center" wrapText="1"/>
      <protection hidden="1"/>
    </xf>
    <xf numFmtId="0" fontId="25" fillId="20" borderId="33" xfId="0" applyFont="1" applyFill="1" applyBorder="1" applyAlignment="1" applyProtection="1">
      <alignment horizontal="center" vertical="center" wrapText="1"/>
      <protection hidden="1"/>
    </xf>
    <xf numFmtId="0" fontId="25" fillId="20" borderId="54" xfId="0" applyFont="1" applyFill="1" applyBorder="1" applyAlignment="1" applyProtection="1">
      <alignment horizontal="center" vertical="center" wrapText="1"/>
      <protection hidden="1"/>
    </xf>
    <xf numFmtId="0" fontId="2" fillId="2" borderId="0" xfId="0" applyFont="1" applyFill="1" applyAlignment="1" applyProtection="1">
      <alignment horizontal="left" vertical="top" wrapText="1"/>
      <protection hidden="1"/>
    </xf>
    <xf numFmtId="0" fontId="14" fillId="17" borderId="32" xfId="0" applyFont="1" applyFill="1" applyBorder="1" applyAlignment="1" applyProtection="1">
      <alignment horizontal="center" vertical="center"/>
      <protection hidden="1"/>
    </xf>
    <xf numFmtId="0" fontId="14" fillId="17" borderId="46" xfId="0" applyFont="1" applyFill="1" applyBorder="1" applyAlignment="1" applyProtection="1">
      <alignment horizontal="center" vertical="center"/>
      <protection hidden="1"/>
    </xf>
    <xf numFmtId="0" fontId="14" fillId="17" borderId="31" xfId="0" applyFont="1" applyFill="1" applyBorder="1" applyAlignment="1" applyProtection="1">
      <alignment horizontal="center" vertical="center"/>
      <protection hidden="1"/>
    </xf>
    <xf numFmtId="0" fontId="14" fillId="17" borderId="10" xfId="0" applyFont="1" applyFill="1" applyBorder="1" applyAlignment="1" applyProtection="1">
      <alignment horizontal="center" vertical="center"/>
      <protection hidden="1"/>
    </xf>
    <xf numFmtId="0" fontId="14" fillId="17" borderId="16" xfId="0" applyFont="1" applyFill="1" applyBorder="1" applyAlignment="1" applyProtection="1">
      <alignment horizontal="center" vertical="center"/>
      <protection hidden="1"/>
    </xf>
    <xf numFmtId="0" fontId="14" fillId="17" borderId="6" xfId="0" applyFont="1" applyFill="1" applyBorder="1" applyAlignment="1" applyProtection="1">
      <alignment horizontal="center" vertical="center"/>
      <protection hidden="1"/>
    </xf>
    <xf numFmtId="0" fontId="15" fillId="15" borderId="0" xfId="0" applyFont="1" applyFill="1" applyAlignment="1" applyProtection="1">
      <alignment horizontal="left" vertical="center"/>
      <protection hidden="1"/>
    </xf>
    <xf numFmtId="0" fontId="14" fillId="17" borderId="32" xfId="0" applyFont="1" applyFill="1" applyBorder="1" applyAlignment="1" applyProtection="1">
      <alignment horizontal="center" vertical="center" wrapText="1"/>
      <protection hidden="1"/>
    </xf>
    <xf numFmtId="0" fontId="14" fillId="17" borderId="31" xfId="0" applyFont="1" applyFill="1" applyBorder="1" applyAlignment="1" applyProtection="1">
      <alignment horizontal="center" vertical="center" wrapText="1"/>
      <protection hidden="1"/>
    </xf>
    <xf numFmtId="0" fontId="12" fillId="15" borderId="0" xfId="0" applyFont="1" applyFill="1" applyAlignment="1" applyProtection="1">
      <alignment horizontal="left" vertical="top" wrapText="1"/>
      <protection hidden="1"/>
    </xf>
    <xf numFmtId="0" fontId="6" fillId="15" borderId="19" xfId="0" applyFont="1" applyFill="1" applyBorder="1" applyAlignment="1" applyProtection="1">
      <alignment horizontal="center" vertical="center"/>
      <protection hidden="1"/>
    </xf>
    <xf numFmtId="0" fontId="6" fillId="15" borderId="3" xfId="0" applyFont="1" applyFill="1" applyBorder="1" applyAlignment="1" applyProtection="1">
      <alignment horizontal="center" vertical="center"/>
      <protection hidden="1"/>
    </xf>
    <xf numFmtId="0" fontId="6" fillId="15" borderId="5" xfId="0" applyFont="1" applyFill="1" applyBorder="1" applyAlignment="1" applyProtection="1">
      <alignment horizontal="center" vertical="center"/>
      <protection hidden="1"/>
    </xf>
    <xf numFmtId="165" fontId="6" fillId="18" borderId="54" xfId="0" applyNumberFormat="1" applyFont="1" applyFill="1" applyBorder="1" applyAlignment="1" applyProtection="1">
      <alignment horizontal="center" vertical="center"/>
      <protection hidden="1"/>
    </xf>
    <xf numFmtId="165" fontId="6" fillId="18" borderId="57" xfId="0" applyNumberFormat="1" applyFont="1" applyFill="1" applyBorder="1" applyAlignment="1" applyProtection="1">
      <alignment horizontal="center" vertical="center"/>
      <protection hidden="1"/>
    </xf>
    <xf numFmtId="165" fontId="6" fillId="18" borderId="58" xfId="0" applyNumberFormat="1" applyFont="1" applyFill="1" applyBorder="1" applyAlignment="1" applyProtection="1">
      <alignment horizontal="center" vertical="center"/>
      <protection hidden="1"/>
    </xf>
    <xf numFmtId="0" fontId="8" fillId="4" borderId="10" xfId="0" applyFont="1" applyFill="1" applyBorder="1" applyAlignment="1" applyProtection="1">
      <alignment horizontal="center" vertical="center"/>
      <protection hidden="1"/>
    </xf>
    <xf numFmtId="0" fontId="8" fillId="4" borderId="16" xfId="0" applyFont="1" applyFill="1" applyBorder="1" applyAlignment="1" applyProtection="1">
      <alignment horizontal="center" vertical="center"/>
      <protection hidden="1"/>
    </xf>
    <xf numFmtId="0" fontId="0" fillId="13" borderId="26" xfId="0" applyFill="1" applyBorder="1" applyAlignment="1" applyProtection="1">
      <alignment horizontal="center"/>
      <protection hidden="1"/>
    </xf>
    <xf numFmtId="0" fontId="0" fillId="13" borderId="56" xfId="0" applyFill="1" applyBorder="1" applyAlignment="1" applyProtection="1">
      <alignment horizontal="center"/>
      <protection hidden="1"/>
    </xf>
    <xf numFmtId="0" fontId="0" fillId="13" borderId="9" xfId="0" applyFill="1" applyBorder="1" applyAlignment="1" applyProtection="1">
      <alignment horizontal="center"/>
      <protection hidden="1"/>
    </xf>
    <xf numFmtId="0" fontId="0" fillId="13" borderId="34"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0" fillId="13" borderId="35" xfId="0" applyFill="1" applyBorder="1" applyAlignment="1" applyProtection="1">
      <alignment horizontal="center"/>
      <protection hidden="1"/>
    </xf>
    <xf numFmtId="0" fontId="6" fillId="18" borderId="10" xfId="0" applyFont="1" applyFill="1" applyBorder="1" applyAlignment="1" applyProtection="1">
      <alignment horizontal="center"/>
      <protection hidden="1"/>
    </xf>
    <xf numFmtId="0" fontId="6" fillId="18" borderId="16" xfId="0" applyFont="1" applyFill="1" applyBorder="1" applyAlignment="1" applyProtection="1">
      <alignment horizontal="center"/>
      <protection hidden="1"/>
    </xf>
    <xf numFmtId="0" fontId="14" fillId="17" borderId="45" xfId="0" applyFont="1" applyFill="1" applyBorder="1" applyAlignment="1" applyProtection="1">
      <alignment horizontal="center" vertical="center" wrapText="1"/>
      <protection hidden="1"/>
    </xf>
    <xf numFmtId="0" fontId="14" fillId="17" borderId="48" xfId="0" applyFont="1" applyFill="1" applyBorder="1" applyAlignment="1" applyProtection="1">
      <alignment horizontal="center" vertical="center" wrapText="1"/>
      <protection hidden="1"/>
    </xf>
    <xf numFmtId="0" fontId="14" fillId="17" borderId="46" xfId="0" applyFont="1" applyFill="1" applyBorder="1" applyAlignment="1" applyProtection="1">
      <alignment horizontal="center" vertical="center" wrapText="1"/>
      <protection hidden="1"/>
    </xf>
    <xf numFmtId="0" fontId="14" fillId="17" borderId="0" xfId="0" applyFont="1" applyFill="1" applyAlignment="1" applyProtection="1">
      <alignment horizontal="center" vertical="center" wrapText="1"/>
      <protection hidden="1"/>
    </xf>
    <xf numFmtId="0" fontId="8" fillId="4" borderId="20" xfId="0" applyFont="1" applyFill="1" applyBorder="1" applyAlignment="1" applyProtection="1">
      <alignment horizontal="center" vertical="center"/>
      <protection hidden="1"/>
    </xf>
    <xf numFmtId="0" fontId="8" fillId="4" borderId="22" xfId="0" applyFont="1" applyFill="1" applyBorder="1" applyAlignment="1" applyProtection="1">
      <alignment horizontal="center" vertical="center"/>
      <protection hidden="1"/>
    </xf>
    <xf numFmtId="0" fontId="14" fillId="17" borderId="45" xfId="0" applyFont="1" applyFill="1" applyBorder="1" applyAlignment="1" applyProtection="1">
      <alignment horizontal="center" vertical="center"/>
      <protection hidden="1"/>
    </xf>
    <xf numFmtId="0" fontId="14" fillId="17" borderId="48" xfId="0" applyFont="1" applyFill="1" applyBorder="1" applyAlignment="1" applyProtection="1">
      <alignment horizontal="center" vertical="center"/>
      <protection hidden="1"/>
    </xf>
    <xf numFmtId="0" fontId="8" fillId="4" borderId="39" xfId="0" applyFont="1" applyFill="1" applyBorder="1" applyAlignment="1" applyProtection="1">
      <alignment horizontal="center" vertical="center"/>
      <protection hidden="1"/>
    </xf>
    <xf numFmtId="2" fontId="0" fillId="15" borderId="62" xfId="0" applyNumberFormat="1" applyFill="1" applyBorder="1" applyAlignment="1" applyProtection="1">
      <alignment horizontal="center" vertical="center"/>
      <protection hidden="1"/>
    </xf>
    <xf numFmtId="2" fontId="0" fillId="15" borderId="19" xfId="0" applyNumberFormat="1" applyFill="1" applyBorder="1" applyAlignment="1" applyProtection="1">
      <alignment horizontal="center" vertical="center"/>
      <protection hidden="1"/>
    </xf>
    <xf numFmtId="2" fontId="0" fillId="15" borderId="13" xfId="0" applyNumberFormat="1" applyFill="1" applyBorder="1" applyAlignment="1" applyProtection="1">
      <alignment horizontal="center" vertical="center"/>
      <protection hidden="1"/>
    </xf>
    <xf numFmtId="2" fontId="0" fillId="15" borderId="3" xfId="0" applyNumberFormat="1" applyFill="1" applyBorder="1" applyAlignment="1" applyProtection="1">
      <alignment horizontal="center" vertical="center"/>
      <protection hidden="1"/>
    </xf>
    <xf numFmtId="2" fontId="0" fillId="15" borderId="38" xfId="0" applyNumberFormat="1" applyFill="1" applyBorder="1" applyAlignment="1" applyProtection="1">
      <alignment horizontal="center" vertical="center"/>
      <protection hidden="1"/>
    </xf>
    <xf numFmtId="2" fontId="0" fillId="15" borderId="37" xfId="0" applyNumberFormat="1" applyFill="1" applyBorder="1" applyAlignment="1" applyProtection="1">
      <alignment horizontal="center" vertical="center"/>
      <protection hidden="1"/>
    </xf>
    <xf numFmtId="2" fontId="6" fillId="18" borderId="39" xfId="0" applyNumberFormat="1" applyFont="1" applyFill="1" applyBorder="1" applyAlignment="1" applyProtection="1">
      <alignment horizontal="center"/>
      <protection hidden="1"/>
    </xf>
    <xf numFmtId="2" fontId="6" fillId="18" borderId="22" xfId="0" applyNumberFormat="1" applyFont="1" applyFill="1" applyBorder="1" applyAlignment="1" applyProtection="1">
      <alignment horizontal="center"/>
      <protection hidden="1"/>
    </xf>
    <xf numFmtId="0" fontId="8" fillId="4" borderId="21" xfId="0" applyFont="1" applyFill="1" applyBorder="1" applyAlignment="1" applyProtection="1">
      <alignment horizontal="center" vertical="center"/>
      <protection hidden="1"/>
    </xf>
    <xf numFmtId="165" fontId="0" fillId="15" borderId="62" xfId="0" applyNumberFormat="1" applyFill="1" applyBorder="1" applyAlignment="1" applyProtection="1">
      <alignment horizontal="center" vertical="center"/>
      <protection hidden="1"/>
    </xf>
    <xf numFmtId="165" fontId="0" fillId="15" borderId="18" xfId="0" applyNumberFormat="1" applyFill="1" applyBorder="1" applyAlignment="1" applyProtection="1">
      <alignment horizontal="center" vertical="center"/>
      <protection hidden="1"/>
    </xf>
    <xf numFmtId="2" fontId="0" fillId="15" borderId="36" xfId="0" applyNumberFormat="1" applyFill="1" applyBorder="1" applyAlignment="1" applyProtection="1">
      <alignment horizontal="center" vertical="center"/>
      <protection hidden="1"/>
    </xf>
    <xf numFmtId="2" fontId="6" fillId="18" borderId="20" xfId="0" applyNumberFormat="1" applyFont="1" applyFill="1" applyBorder="1" applyAlignment="1" applyProtection="1">
      <alignment horizontal="center"/>
      <protection hidden="1"/>
    </xf>
    <xf numFmtId="2" fontId="0" fillId="15" borderId="17" xfId="0" applyNumberFormat="1" applyFill="1" applyBorder="1" applyAlignment="1" applyProtection="1">
      <alignment horizontal="center" vertical="center"/>
      <protection hidden="1"/>
    </xf>
    <xf numFmtId="2" fontId="0" fillId="15" borderId="2" xfId="0" applyNumberFormat="1" applyFill="1" applyBorder="1" applyAlignment="1" applyProtection="1">
      <alignment horizontal="center" vertical="center"/>
      <protection hidden="1"/>
    </xf>
    <xf numFmtId="0" fontId="8" fillId="19" borderId="10" xfId="0" applyFont="1" applyFill="1" applyBorder="1" applyAlignment="1" applyProtection="1">
      <alignment horizontal="left" vertical="center"/>
      <protection hidden="1"/>
    </xf>
    <xf numFmtId="0" fontId="8" fillId="19" borderId="16" xfId="0" applyFont="1" applyFill="1" applyBorder="1" applyAlignment="1" applyProtection="1">
      <alignment horizontal="left" vertical="center"/>
      <protection hidden="1"/>
    </xf>
    <xf numFmtId="0" fontId="8" fillId="4" borderId="32" xfId="0" applyFont="1" applyFill="1" applyBorder="1" applyAlignment="1" applyProtection="1">
      <alignment horizontal="center" vertical="center"/>
      <protection hidden="1"/>
    </xf>
    <xf numFmtId="0" fontId="8" fillId="4" borderId="31" xfId="0" applyFont="1" applyFill="1" applyBorder="1" applyAlignment="1" applyProtection="1">
      <alignment horizontal="center" vertical="center"/>
      <protection hidden="1"/>
    </xf>
    <xf numFmtId="0" fontId="8" fillId="4" borderId="45" xfId="0" applyFont="1" applyFill="1" applyBorder="1" applyAlignment="1" applyProtection="1">
      <alignment horizontal="center" vertical="center"/>
      <protection hidden="1"/>
    </xf>
    <xf numFmtId="0" fontId="8" fillId="4" borderId="48" xfId="0" applyFont="1" applyFill="1" applyBorder="1" applyAlignment="1" applyProtection="1">
      <alignment horizontal="center" vertical="center"/>
      <protection hidden="1"/>
    </xf>
    <xf numFmtId="0" fontId="8" fillId="4" borderId="60" xfId="0" applyFont="1" applyFill="1" applyBorder="1" applyAlignment="1" applyProtection="1">
      <alignment horizontal="center" vertical="top" wrapText="1"/>
      <protection hidden="1"/>
    </xf>
    <xf numFmtId="0" fontId="8" fillId="4" borderId="67" xfId="0" applyFont="1" applyFill="1" applyBorder="1" applyAlignment="1" applyProtection="1">
      <alignment horizontal="center" vertical="top" wrapText="1"/>
      <protection hidden="1"/>
    </xf>
    <xf numFmtId="0" fontId="8" fillId="4" borderId="65" xfId="0" applyFont="1" applyFill="1" applyBorder="1" applyAlignment="1" applyProtection="1">
      <alignment horizontal="center"/>
      <protection hidden="1"/>
    </xf>
    <xf numFmtId="0" fontId="8" fillId="4" borderId="68" xfId="0" applyFont="1" applyFill="1" applyBorder="1" applyAlignment="1" applyProtection="1">
      <alignment horizontal="center"/>
      <protection hidden="1"/>
    </xf>
    <xf numFmtId="0" fontId="8" fillId="4" borderId="31" xfId="0" applyFont="1" applyFill="1" applyBorder="1" applyAlignment="1" applyProtection="1">
      <alignment horizontal="center" vertical="center" wrapText="1"/>
      <protection hidden="1"/>
    </xf>
    <xf numFmtId="0" fontId="8" fillId="4" borderId="29" xfId="0" applyFont="1" applyFill="1" applyBorder="1" applyAlignment="1" applyProtection="1">
      <alignment horizontal="center" vertical="center" wrapText="1"/>
      <protection hidden="1"/>
    </xf>
    <xf numFmtId="0" fontId="8" fillId="4" borderId="46" xfId="0" applyFont="1" applyFill="1" applyBorder="1" applyAlignment="1" applyProtection="1">
      <alignment horizontal="center" vertical="center" wrapText="1"/>
      <protection hidden="1"/>
    </xf>
    <xf numFmtId="0" fontId="8" fillId="4" borderId="47" xfId="0" applyFont="1" applyFill="1" applyBorder="1" applyAlignment="1" applyProtection="1">
      <alignment horizontal="center" vertical="center" wrapText="1"/>
      <protection hidden="1"/>
    </xf>
    <xf numFmtId="165" fontId="0" fillId="15" borderId="36" xfId="0" applyNumberFormat="1" applyFill="1" applyBorder="1" applyAlignment="1" applyProtection="1">
      <alignment horizontal="center" vertical="center"/>
      <protection hidden="1"/>
    </xf>
    <xf numFmtId="165" fontId="0" fillId="15" borderId="38" xfId="0" applyNumberFormat="1" applyFill="1" applyBorder="1" applyAlignment="1" applyProtection="1">
      <alignment horizontal="center" vertical="center"/>
      <protection hidden="1"/>
    </xf>
    <xf numFmtId="165" fontId="6" fillId="18" borderId="20" xfId="0" applyNumberFormat="1" applyFont="1" applyFill="1" applyBorder="1" applyAlignment="1" applyProtection="1">
      <alignment horizontal="center"/>
      <protection hidden="1"/>
    </xf>
    <xf numFmtId="165" fontId="6" fillId="18" borderId="39" xfId="0" applyNumberFormat="1" applyFont="1" applyFill="1" applyBorder="1" applyAlignment="1" applyProtection="1">
      <alignment horizontal="center"/>
      <protection hidden="1"/>
    </xf>
    <xf numFmtId="165" fontId="0" fillId="15" borderId="50" xfId="0" applyNumberFormat="1" applyFill="1" applyBorder="1" applyAlignment="1" applyProtection="1">
      <alignment horizontal="center" vertical="center"/>
      <protection hidden="1"/>
    </xf>
    <xf numFmtId="165" fontId="6" fillId="18" borderId="21" xfId="0" applyNumberFormat="1" applyFont="1" applyFill="1" applyBorder="1" applyAlignment="1" applyProtection="1">
      <alignment horizontal="center"/>
      <protection hidden="1"/>
    </xf>
    <xf numFmtId="165" fontId="0" fillId="15" borderId="2" xfId="0" applyNumberFormat="1" applyFill="1" applyBorder="1" applyAlignment="1" applyProtection="1">
      <alignment horizontal="center" vertical="center"/>
      <protection hidden="1"/>
    </xf>
    <xf numFmtId="165" fontId="0" fillId="15" borderId="13" xfId="0" applyNumberFormat="1" applyFill="1" applyBorder="1" applyAlignment="1" applyProtection="1">
      <alignment horizontal="center" vertical="center"/>
      <protection hidden="1"/>
    </xf>
    <xf numFmtId="165" fontId="0" fillId="15" borderId="66" xfId="0" applyNumberFormat="1" applyFill="1" applyBorder="1" applyAlignment="1" applyProtection="1">
      <alignment horizontal="center" vertical="center"/>
      <protection hidden="1"/>
    </xf>
    <xf numFmtId="165" fontId="0" fillId="15" borderId="17" xfId="0" applyNumberFormat="1" applyFill="1" applyBorder="1" applyAlignment="1" applyProtection="1">
      <alignment horizontal="center" vertical="center"/>
      <protection hidden="1"/>
    </xf>
    <xf numFmtId="1" fontId="6" fillId="18" borderId="21" xfId="0" applyNumberFormat="1" applyFont="1" applyFill="1" applyBorder="1" applyAlignment="1" applyProtection="1">
      <alignment horizontal="center"/>
      <protection hidden="1"/>
    </xf>
    <xf numFmtId="1" fontId="6" fillId="18" borderId="6" xfId="0" applyNumberFormat="1" applyFont="1" applyFill="1" applyBorder="1" applyAlignment="1" applyProtection="1">
      <alignment horizontal="center"/>
      <protection hidden="1"/>
    </xf>
    <xf numFmtId="0" fontId="0" fillId="0" borderId="62"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38" xfId="0" applyBorder="1" applyAlignment="1" applyProtection="1">
      <alignment horizontal="center"/>
      <protection hidden="1"/>
    </xf>
    <xf numFmtId="0" fontId="8" fillId="4" borderId="31" xfId="0" applyFont="1" applyFill="1" applyBorder="1" applyAlignment="1" applyProtection="1">
      <alignment horizontal="center" vertical="top" wrapText="1"/>
      <protection hidden="1"/>
    </xf>
    <xf numFmtId="0" fontId="8" fillId="4" borderId="29" xfId="0" applyFont="1" applyFill="1" applyBorder="1" applyAlignment="1" applyProtection="1">
      <alignment horizontal="center"/>
      <protection hidden="1"/>
    </xf>
    <xf numFmtId="1" fontId="0" fillId="0" borderId="62" xfId="0" applyNumberFormat="1" applyBorder="1" applyAlignment="1" applyProtection="1">
      <alignment horizontal="center"/>
      <protection hidden="1"/>
    </xf>
    <xf numFmtId="1" fontId="0" fillId="0" borderId="19" xfId="0" applyNumberFormat="1" applyBorder="1" applyAlignment="1" applyProtection="1">
      <alignment horizontal="center"/>
      <protection hidden="1"/>
    </xf>
    <xf numFmtId="1" fontId="0" fillId="0" borderId="13" xfId="0" applyNumberFormat="1" applyBorder="1" applyAlignment="1" applyProtection="1">
      <alignment horizontal="center"/>
      <protection hidden="1"/>
    </xf>
    <xf numFmtId="1" fontId="0" fillId="0" borderId="3" xfId="0" applyNumberFormat="1" applyBorder="1" applyAlignment="1" applyProtection="1">
      <alignment horizontal="center"/>
      <protection hidden="1"/>
    </xf>
    <xf numFmtId="1" fontId="0" fillId="0" borderId="38" xfId="0" applyNumberFormat="1" applyBorder="1" applyAlignment="1" applyProtection="1">
      <alignment horizontal="center"/>
      <protection hidden="1"/>
    </xf>
    <xf numFmtId="1" fontId="0" fillId="0" borderId="37" xfId="0" applyNumberFormat="1" applyBorder="1" applyAlignment="1" applyProtection="1">
      <alignment horizontal="center"/>
      <protection hidden="1"/>
    </xf>
    <xf numFmtId="0" fontId="27" fillId="3" borderId="10" xfId="0" applyFont="1" applyFill="1" applyBorder="1" applyAlignment="1" applyProtection="1">
      <alignment horizontal="center"/>
      <protection hidden="1"/>
    </xf>
    <xf numFmtId="0" fontId="27" fillId="3" borderId="16" xfId="0" applyFont="1" applyFill="1" applyBorder="1" applyAlignment="1" applyProtection="1">
      <alignment horizontal="center"/>
      <protection hidden="1"/>
    </xf>
    <xf numFmtId="0" fontId="27" fillId="3" borderId="6" xfId="0" applyFont="1" applyFill="1" applyBorder="1" applyAlignment="1" applyProtection="1">
      <alignment horizontal="center"/>
      <protection hidden="1"/>
    </xf>
    <xf numFmtId="0" fontId="14" fillId="5" borderId="10" xfId="0" applyFont="1" applyFill="1" applyBorder="1" applyAlignment="1" applyProtection="1">
      <alignment horizontal="center"/>
      <protection hidden="1"/>
    </xf>
    <xf numFmtId="0" fontId="14" fillId="5" borderId="16" xfId="0" applyFont="1" applyFill="1" applyBorder="1" applyAlignment="1" applyProtection="1">
      <alignment horizontal="center"/>
      <protection hidden="1"/>
    </xf>
    <xf numFmtId="0" fontId="14" fillId="5" borderId="6" xfId="0" applyFont="1" applyFill="1" applyBorder="1" applyAlignment="1" applyProtection="1">
      <alignment horizontal="center"/>
      <protection hidden="1"/>
    </xf>
    <xf numFmtId="0" fontId="0" fillId="4" borderId="0" xfId="0" applyFill="1" applyAlignment="1">
      <alignment horizontal="center" vertical="center"/>
    </xf>
    <xf numFmtId="0" fontId="2" fillId="5" borderId="0" xfId="0" applyFont="1" applyFill="1" applyAlignment="1">
      <alignment horizontal="center" vertical="center" wrapText="1"/>
    </xf>
    <xf numFmtId="0" fontId="0" fillId="3" borderId="0" xfId="0" applyFill="1" applyAlignment="1">
      <alignment horizontal="center" vertical="center"/>
    </xf>
    <xf numFmtId="0" fontId="0" fillId="4" borderId="0" xfId="0" applyFill="1" applyAlignment="1">
      <alignment horizontal="center" vertical="center" wrapText="1"/>
    </xf>
    <xf numFmtId="0" fontId="0" fillId="6" borderId="0" xfId="0" applyFill="1" applyAlignment="1">
      <alignment horizontal="center" vertical="center" wrapText="1"/>
    </xf>
    <xf numFmtId="0" fontId="0" fillId="3" borderId="0" xfId="0" applyFill="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0" fillId="4" borderId="0" xfId="0" applyFill="1" applyAlignment="1" applyProtection="1">
      <alignment horizontal="center" vertical="center"/>
      <protection hidden="1"/>
    </xf>
    <xf numFmtId="0" fontId="0" fillId="4" borderId="0" xfId="0" applyFill="1" applyAlignment="1" applyProtection="1">
      <alignment horizontal="center" vertical="center" wrapText="1"/>
      <protection hidden="1"/>
    </xf>
    <xf numFmtId="0" fontId="8" fillId="4" borderId="30" xfId="0" applyFont="1" applyFill="1" applyBorder="1" applyAlignment="1" applyProtection="1">
      <alignment horizontal="left" vertical="center" wrapText="1"/>
      <protection hidden="1"/>
    </xf>
    <xf numFmtId="0" fontId="8" fillId="4" borderId="44" xfId="0" applyFont="1" applyFill="1" applyBorder="1" applyAlignment="1" applyProtection="1">
      <alignment horizontal="left" vertical="center" wrapText="1"/>
      <protection hidden="1"/>
    </xf>
    <xf numFmtId="0" fontId="8" fillId="4" borderId="12" xfId="0" applyFont="1" applyFill="1" applyBorder="1" applyAlignment="1" applyProtection="1">
      <alignment horizontal="left" vertical="center" wrapText="1"/>
      <protection hidden="1"/>
    </xf>
    <xf numFmtId="0" fontId="10" fillId="4" borderId="46" xfId="0" applyFont="1" applyFill="1" applyBorder="1" applyAlignment="1" applyProtection="1">
      <alignment horizontal="center" vertical="center" wrapText="1"/>
      <protection hidden="1"/>
    </xf>
    <xf numFmtId="0" fontId="8" fillId="4" borderId="10" xfId="0" applyFont="1" applyFill="1" applyBorder="1" applyAlignment="1" applyProtection="1">
      <alignment horizontal="center"/>
      <protection hidden="1"/>
    </xf>
    <xf numFmtId="0" fontId="8" fillId="4" borderId="16" xfId="0" applyFont="1" applyFill="1" applyBorder="1" applyAlignment="1" applyProtection="1">
      <alignment horizontal="center"/>
      <protection hidden="1"/>
    </xf>
    <xf numFmtId="0" fontId="8" fillId="4" borderId="32" xfId="0" applyFont="1" applyFill="1" applyBorder="1" applyAlignment="1" applyProtection="1">
      <alignment horizontal="center"/>
      <protection hidden="1"/>
    </xf>
    <xf numFmtId="0" fontId="8" fillId="4" borderId="31" xfId="0" applyFont="1" applyFill="1" applyBorder="1" applyAlignment="1" applyProtection="1">
      <alignment horizontal="center"/>
      <protection hidden="1"/>
    </xf>
    <xf numFmtId="0" fontId="8" fillId="4" borderId="6" xfId="0" applyFont="1" applyFill="1" applyBorder="1" applyAlignment="1" applyProtection="1">
      <alignment horizontal="center"/>
      <protection hidden="1"/>
    </xf>
    <xf numFmtId="0" fontId="8" fillId="4" borderId="10" xfId="0" applyFont="1" applyFill="1" applyBorder="1" applyAlignment="1" applyProtection="1">
      <alignment horizontal="center" vertical="center" wrapText="1"/>
      <protection hidden="1"/>
    </xf>
    <xf numFmtId="0" fontId="8" fillId="4" borderId="6" xfId="0" applyFont="1" applyFill="1" applyBorder="1" applyAlignment="1" applyProtection="1">
      <alignment horizontal="center" vertical="center" wrapText="1"/>
      <protection hidden="1"/>
    </xf>
  </cellXfs>
  <cellStyles count="2">
    <cellStyle name="Normal" xfId="0" builtinId="0"/>
    <cellStyle name="Percent" xfId="1" builtinId="5"/>
  </cellStyles>
  <dxfs count="20">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GB" sz="1400" b="1">
                <a:solidFill>
                  <a:sysClr val="windowText" lastClr="000000"/>
                </a:solidFill>
                <a:latin typeface="+mn-lt"/>
              </a:rPr>
              <a:t>Annual emissions for site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'Conservation grazing tool'!$F$41</c:f>
              <c:strCache>
                <c:ptCount val="1"/>
                <c:pt idx="0">
                  <c:v>Methane 
(enteric and manures)</c:v>
                </c:pt>
              </c:strCache>
            </c:strRef>
          </c:tx>
          <c:spPr>
            <a:solidFill>
              <a:schemeClr val="accent1"/>
            </a:solidFill>
            <a:ln>
              <a:noFill/>
            </a:ln>
            <a:effectLst/>
          </c:spPr>
          <c:invertIfNegative val="0"/>
          <c:cat>
            <c:strRef>
              <c:f>'Conservation grazing tool'!$L$42:$L$44</c:f>
              <c:strCache>
                <c:ptCount val="3"/>
                <c:pt idx="0">
                  <c:v>Bison - European (360 – 990 kg)</c:v>
                </c:pt>
                <c:pt idx="1">
                  <c:v>Water buffalo - Standard (300 – 600 kg)</c:v>
                </c:pt>
                <c:pt idx="2">
                  <c:v>Cattle - Medium (500 kg - 700 kg)</c:v>
                </c:pt>
              </c:strCache>
            </c:strRef>
          </c:cat>
          <c:val>
            <c:numRef>
              <c:f>'Conservation grazing tool'!$F$42:$F$44</c:f>
              <c:numCache>
                <c:formatCode>0.0</c:formatCode>
                <c:ptCount val="3"/>
                <c:pt idx="0">
                  <c:v>0</c:v>
                </c:pt>
                <c:pt idx="1">
                  <c:v>0</c:v>
                </c:pt>
                <c:pt idx="2">
                  <c:v>0</c:v>
                </c:pt>
              </c:numCache>
            </c:numRef>
          </c:val>
          <c:extLst>
            <c:ext xmlns:c16="http://schemas.microsoft.com/office/drawing/2014/chart" uri="{C3380CC4-5D6E-409C-BE32-E72D297353CC}">
              <c16:uniqueId val="{00000000-DF8D-4757-AA34-BE40FA2CA8C4}"/>
            </c:ext>
          </c:extLst>
        </c:ser>
        <c:ser>
          <c:idx val="1"/>
          <c:order val="1"/>
          <c:tx>
            <c:strRef>
              <c:f>'Conservation grazing tool'!$G$41</c:f>
              <c:strCache>
                <c:ptCount val="1"/>
                <c:pt idx="0">
                  <c:v>Nitrous oxide 
(manures)</c:v>
                </c:pt>
              </c:strCache>
            </c:strRef>
          </c:tx>
          <c:spPr>
            <a:solidFill>
              <a:schemeClr val="accent2"/>
            </a:solidFill>
            <a:ln>
              <a:noFill/>
            </a:ln>
            <a:effectLst/>
          </c:spPr>
          <c:invertIfNegative val="0"/>
          <c:cat>
            <c:strRef>
              <c:f>'Conservation grazing tool'!$L$42:$L$44</c:f>
              <c:strCache>
                <c:ptCount val="3"/>
                <c:pt idx="0">
                  <c:v>Bison - European (360 – 990 kg)</c:v>
                </c:pt>
                <c:pt idx="1">
                  <c:v>Water buffalo - Standard (300 – 600 kg)</c:v>
                </c:pt>
                <c:pt idx="2">
                  <c:v>Cattle - Medium (500 kg - 700 kg)</c:v>
                </c:pt>
              </c:strCache>
            </c:strRef>
          </c:cat>
          <c:val>
            <c:numRef>
              <c:f>'Conservation grazing tool'!$G$42:$G$44</c:f>
              <c:numCache>
                <c:formatCode>0.0</c:formatCode>
                <c:ptCount val="3"/>
                <c:pt idx="0">
                  <c:v>0</c:v>
                </c:pt>
                <c:pt idx="1">
                  <c:v>0</c:v>
                </c:pt>
                <c:pt idx="2">
                  <c:v>0</c:v>
                </c:pt>
              </c:numCache>
            </c:numRef>
          </c:val>
          <c:extLst>
            <c:ext xmlns:c16="http://schemas.microsoft.com/office/drawing/2014/chart" uri="{C3380CC4-5D6E-409C-BE32-E72D297353CC}">
              <c16:uniqueId val="{00000001-DF8D-4757-AA34-BE40FA2CA8C4}"/>
            </c:ext>
          </c:extLst>
        </c:ser>
        <c:dLbls>
          <c:showLegendKey val="0"/>
          <c:showVal val="0"/>
          <c:showCatName val="0"/>
          <c:showSerName val="0"/>
          <c:showPercent val="0"/>
          <c:showBubbleSize val="0"/>
        </c:dLbls>
        <c:gapWidth val="150"/>
        <c:overlap val="100"/>
        <c:axId val="492717488"/>
        <c:axId val="492738704"/>
      </c:barChart>
      <c:catAx>
        <c:axId val="49271748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GB" sz="1200" b="1">
                    <a:solidFill>
                      <a:sysClr val="windowText" lastClr="000000"/>
                    </a:solidFill>
                  </a:rPr>
                  <a:t>Species</a:t>
                </a:r>
              </a:p>
            </c:rich>
          </c:tx>
          <c:layout>
            <c:manualLayout>
              <c:xMode val="edge"/>
              <c:yMode val="edge"/>
              <c:x val="0.39755721741410549"/>
              <c:y val="0.89138920780711828"/>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492738704"/>
        <c:crosses val="autoZero"/>
        <c:auto val="1"/>
        <c:lblAlgn val="ctr"/>
        <c:lblOffset val="100"/>
        <c:noMultiLvlLbl val="0"/>
      </c:catAx>
      <c:valAx>
        <c:axId val="492738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GB" sz="1200" b="1">
                    <a:solidFill>
                      <a:sysClr val="windowText" lastClr="000000"/>
                    </a:solidFill>
                  </a:rPr>
                  <a:t>Livestock</a:t>
                </a:r>
                <a:r>
                  <a:rPr lang="en-GB" sz="1200" b="1" baseline="0">
                    <a:solidFill>
                      <a:sysClr val="windowText" lastClr="000000"/>
                    </a:solidFill>
                  </a:rPr>
                  <a:t> GHG emissions </a:t>
                </a:r>
                <a:br>
                  <a:rPr lang="en-GB" sz="1200" b="1" baseline="0">
                    <a:solidFill>
                      <a:sysClr val="windowText" lastClr="000000"/>
                    </a:solidFill>
                  </a:rPr>
                </a:br>
                <a:r>
                  <a:rPr lang="en-GB" sz="1200" b="1" baseline="0">
                    <a:solidFill>
                      <a:sysClr val="windowText" lastClr="000000"/>
                    </a:solidFill>
                  </a:rPr>
                  <a:t>(</a:t>
                </a:r>
                <a:r>
                  <a:rPr lang="en-GB" sz="1200" b="1">
                    <a:solidFill>
                      <a:sysClr val="windowText" lastClr="000000"/>
                    </a:solidFill>
                  </a:rPr>
                  <a:t>tonnes CO</a:t>
                </a:r>
                <a:r>
                  <a:rPr lang="en-GB" sz="1200" b="1" baseline="-25000">
                    <a:solidFill>
                      <a:sysClr val="windowText" lastClr="000000"/>
                    </a:solidFill>
                  </a:rPr>
                  <a:t>2</a:t>
                </a:r>
                <a:r>
                  <a:rPr lang="en-GB" sz="1200" b="1">
                    <a:solidFill>
                      <a:sysClr val="windowText" lastClr="000000"/>
                    </a:solidFill>
                  </a:rPr>
                  <a:t>e</a:t>
                </a:r>
                <a:r>
                  <a:rPr lang="en-GB" sz="1200" b="1" baseline="0">
                    <a:solidFill>
                      <a:sysClr val="windowText" lastClr="000000"/>
                    </a:solidFill>
                  </a:rPr>
                  <a:t> yr</a:t>
                </a:r>
                <a:r>
                  <a:rPr lang="en-GB" sz="1200" b="1" baseline="30000">
                    <a:solidFill>
                      <a:sysClr val="windowText" lastClr="000000"/>
                    </a:solidFill>
                  </a:rPr>
                  <a:t>-1</a:t>
                </a:r>
                <a:r>
                  <a:rPr lang="en-GB" sz="1200" b="1" baseline="0">
                    <a:solidFill>
                      <a:sysClr val="windowText" lastClr="000000"/>
                    </a:solidFill>
                  </a:rPr>
                  <a:t>)</a:t>
                </a:r>
                <a:endParaRPr lang="en-GB" sz="1200" b="1" baseline="30000">
                  <a:solidFill>
                    <a:sysClr val="windowText" lastClr="000000"/>
                  </a:solidFill>
                </a:endParaRPr>
              </a:p>
            </c:rich>
          </c:tx>
          <c:layout>
            <c:manualLayout>
              <c:xMode val="edge"/>
              <c:yMode val="edge"/>
              <c:x val="1.6333941152959316E-2"/>
              <c:y val="0.14630678499791006"/>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492717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b="1">
                <a:solidFill>
                  <a:sysClr val="windowText" lastClr="000000"/>
                </a:solidFill>
              </a:rPr>
              <a:t>Carbon stocks by habitat</a:t>
            </a:r>
            <a:r>
              <a:rPr lang="en-GB" b="1" baseline="0">
                <a:solidFill>
                  <a:sysClr val="windowText" lastClr="000000"/>
                </a:solidFill>
              </a:rPr>
              <a:t> type</a:t>
            </a:r>
            <a:endParaRPr lang="en-GB"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'Habitat carbon storage'!$E$86</c:f>
              <c:strCache>
                <c:ptCount val="1"/>
                <c:pt idx="0">
                  <c:v>Soil carbon stock</c:v>
                </c:pt>
              </c:strCache>
            </c:strRef>
          </c:tx>
          <c:spPr>
            <a:solidFill>
              <a:schemeClr val="accent1"/>
            </a:solidFill>
            <a:ln>
              <a:noFill/>
            </a:ln>
            <a:effectLst/>
          </c:spPr>
          <c:invertIfNegative val="0"/>
          <c:cat>
            <c:strRef>
              <c:f>'Habitat carbon storage'!$C$88:$C$90</c:f>
              <c:strCache>
                <c:ptCount val="3"/>
                <c:pt idx="0">
                  <c:v>Calcareous Grassland</c:v>
                </c:pt>
                <c:pt idx="1">
                  <c:v> </c:v>
                </c:pt>
                <c:pt idx="2">
                  <c:v> </c:v>
                </c:pt>
              </c:strCache>
            </c:strRef>
          </c:cat>
          <c:val>
            <c:numRef>
              <c:f>'Habitat carbon storage'!$E$88:$E$90</c:f>
              <c:numCache>
                <c:formatCode>0</c:formatCode>
                <c:ptCount val="3"/>
                <c:pt idx="0">
                  <c:v>0</c:v>
                </c:pt>
                <c:pt idx="1">
                  <c:v>0</c:v>
                </c:pt>
                <c:pt idx="2">
                  <c:v>0</c:v>
                </c:pt>
              </c:numCache>
            </c:numRef>
          </c:val>
          <c:extLst>
            <c:ext xmlns:c16="http://schemas.microsoft.com/office/drawing/2014/chart" uri="{C3380CC4-5D6E-409C-BE32-E72D297353CC}">
              <c16:uniqueId val="{00000001-9F96-4DC2-9B83-F60702628DF3}"/>
            </c:ext>
          </c:extLst>
        </c:ser>
        <c:ser>
          <c:idx val="1"/>
          <c:order val="1"/>
          <c:tx>
            <c:strRef>
              <c:f>'Habitat carbon storage'!$H$86</c:f>
              <c:strCache>
                <c:ptCount val="1"/>
                <c:pt idx="0">
                  <c:v>Vegetation carbon stock</c:v>
                </c:pt>
              </c:strCache>
            </c:strRef>
          </c:tx>
          <c:spPr>
            <a:solidFill>
              <a:schemeClr val="accent2"/>
            </a:solidFill>
            <a:ln>
              <a:noFill/>
            </a:ln>
            <a:effectLst/>
          </c:spPr>
          <c:invertIfNegative val="0"/>
          <c:cat>
            <c:strRef>
              <c:f>'Habitat carbon storage'!$C$88:$C$90</c:f>
              <c:strCache>
                <c:ptCount val="3"/>
                <c:pt idx="0">
                  <c:v>Calcareous Grassland</c:v>
                </c:pt>
                <c:pt idx="1">
                  <c:v> </c:v>
                </c:pt>
                <c:pt idx="2">
                  <c:v> </c:v>
                </c:pt>
              </c:strCache>
            </c:strRef>
          </c:cat>
          <c:val>
            <c:numRef>
              <c:f>'Habitat carbon storage'!$H$88:$H$90</c:f>
              <c:numCache>
                <c:formatCode>0.00</c:formatCode>
                <c:ptCount val="3"/>
                <c:pt idx="0" formatCode="General">
                  <c:v>0</c:v>
                </c:pt>
                <c:pt idx="1">
                  <c:v>0</c:v>
                </c:pt>
                <c:pt idx="2" formatCode="General">
                  <c:v>0</c:v>
                </c:pt>
              </c:numCache>
            </c:numRef>
          </c:val>
          <c:extLst>
            <c:ext xmlns:c16="http://schemas.microsoft.com/office/drawing/2014/chart" uri="{C3380CC4-5D6E-409C-BE32-E72D297353CC}">
              <c16:uniqueId val="{00000002-9F96-4DC2-9B83-F60702628DF3}"/>
            </c:ext>
          </c:extLst>
        </c:ser>
        <c:dLbls>
          <c:showLegendKey val="0"/>
          <c:showVal val="0"/>
          <c:showCatName val="0"/>
          <c:showSerName val="0"/>
          <c:showPercent val="0"/>
          <c:showBubbleSize val="0"/>
        </c:dLbls>
        <c:gapWidth val="219"/>
        <c:overlap val="100"/>
        <c:axId val="1345735520"/>
        <c:axId val="1345736352"/>
      </c:barChart>
      <c:catAx>
        <c:axId val="134573552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b="1">
                    <a:solidFill>
                      <a:sysClr val="windowText" lastClr="000000"/>
                    </a:solidFill>
                  </a:rPr>
                  <a:t>Habitat</a:t>
                </a:r>
                <a:r>
                  <a:rPr lang="en-GB" b="1" baseline="0">
                    <a:solidFill>
                      <a:sysClr val="windowText" lastClr="000000"/>
                    </a:solidFill>
                  </a:rPr>
                  <a:t> type</a:t>
                </a:r>
                <a:endParaRPr lang="en-GB" b="1">
                  <a:solidFill>
                    <a:sysClr val="windowText" lastClr="000000"/>
                  </a:solidFill>
                </a:endParaRPr>
              </a:p>
            </c:rich>
          </c:tx>
          <c:layout>
            <c:manualLayout>
              <c:xMode val="edge"/>
              <c:yMode val="edge"/>
              <c:x val="0.49403488752872859"/>
              <c:y val="0.8106341195059073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345736352"/>
        <c:crosses val="autoZero"/>
        <c:auto val="1"/>
        <c:lblAlgn val="ctr"/>
        <c:lblOffset val="100"/>
        <c:noMultiLvlLbl val="0"/>
      </c:catAx>
      <c:valAx>
        <c:axId val="1345736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GB" sz="1200" b="1">
                    <a:solidFill>
                      <a:sysClr val="windowText" lastClr="000000"/>
                    </a:solidFill>
                  </a:rPr>
                  <a:t>Carbon stocks (tonnes C)</a:t>
                </a:r>
              </a:p>
            </c:rich>
          </c:tx>
          <c:layout>
            <c:manualLayout>
              <c:xMode val="edge"/>
              <c:yMode val="edge"/>
              <c:x val="1.2673983932125613E-2"/>
              <c:y val="0.15902731554942356"/>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345735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GB" sz="1400" b="1" i="0" u="none" strike="noStrike" kern="1200" spc="0" baseline="0">
                <a:solidFill>
                  <a:sysClr val="windowText" lastClr="000000"/>
                </a:solidFill>
                <a:effectLst/>
                <a:latin typeface="+mn-lt"/>
                <a:ea typeface="+mn-ea"/>
                <a:cs typeface="+mn-cs"/>
              </a:defRPr>
            </a:pPr>
            <a:r>
              <a:rPr lang="en-GB" sz="1400" b="1" i="0" u="none" strike="noStrike" kern="1200" spc="0" baseline="0">
                <a:solidFill>
                  <a:sysClr val="windowText" lastClr="000000"/>
                </a:solidFill>
                <a:effectLst/>
                <a:latin typeface="+mn-lt"/>
                <a:ea typeface="+mn-ea"/>
                <a:cs typeface="+mn-cs"/>
              </a:rPr>
              <a:t>Annual emissions and sequestration per site</a:t>
            </a:r>
          </a:p>
        </c:rich>
      </c:tx>
      <c:overlay val="0"/>
      <c:spPr>
        <a:noFill/>
        <a:ln>
          <a:noFill/>
        </a:ln>
        <a:effectLst/>
      </c:spPr>
      <c:txPr>
        <a:bodyPr rot="0" spcFirstLastPara="1" vertOverflow="ellipsis" vert="horz" wrap="square" anchor="ctr" anchorCtr="1"/>
        <a:lstStyle/>
        <a:p>
          <a:pPr>
            <a:defRPr lang="en-GB" sz="1400" b="1" i="0" u="none" strike="noStrike" kern="1200" spc="0" baseline="0">
              <a:solidFill>
                <a:sysClr val="windowText" lastClr="000000"/>
              </a:solidFill>
              <a:effectLst/>
              <a:latin typeface="+mn-lt"/>
              <a:ea typeface="+mn-ea"/>
              <a:cs typeface="+mn-cs"/>
            </a:defRPr>
          </a:pPr>
          <a:endParaRPr lang="en-US"/>
        </a:p>
      </c:txPr>
    </c:title>
    <c:autoTitleDeleted val="0"/>
    <c:plotArea>
      <c:layout>
        <c:manualLayout>
          <c:layoutTarget val="inner"/>
          <c:xMode val="edge"/>
          <c:yMode val="edge"/>
          <c:x val="0.17077764704699269"/>
          <c:y val="0.12627272397401937"/>
          <c:w val="0.52630343620840503"/>
          <c:h val="0.7364589343687411"/>
        </c:manualLayout>
      </c:layout>
      <c:barChart>
        <c:barDir val="col"/>
        <c:grouping val="clustered"/>
        <c:varyColors val="0"/>
        <c:ser>
          <c:idx val="0"/>
          <c:order val="0"/>
          <c:tx>
            <c:strRef>
              <c:f>'Habitat carbon storage'!$E$17:$E$18</c:f>
              <c:strCache>
                <c:ptCount val="2"/>
                <c:pt idx="0">
                  <c:v>Habitat emissions:</c:v>
                </c:pt>
                <c:pt idx="1">
                  <c:v>Low GHG flux</c:v>
                </c:pt>
              </c:strCache>
            </c:strRef>
          </c:tx>
          <c:spPr>
            <a:solidFill>
              <a:schemeClr val="accent1"/>
            </a:solidFill>
            <a:ln>
              <a:noFill/>
            </a:ln>
            <a:effectLst/>
          </c:spPr>
          <c:invertIfNegative val="0"/>
          <c:cat>
            <c:strRef>
              <c:f>'Habitat carbon storage'!$C$19:$C$21</c:f>
              <c:strCache>
                <c:ptCount val="3"/>
                <c:pt idx="0">
                  <c:v>Calcareous Grassland</c:v>
                </c:pt>
                <c:pt idx="1">
                  <c:v> </c:v>
                </c:pt>
                <c:pt idx="2">
                  <c:v> </c:v>
                </c:pt>
              </c:strCache>
            </c:strRef>
          </c:cat>
          <c:val>
            <c:numRef>
              <c:f>'Habitat carbon storage'!$E$19:$E$21</c:f>
              <c:numCache>
                <c:formatCode>0</c:formatCode>
                <c:ptCount val="3"/>
                <c:pt idx="0">
                  <c:v>0</c:v>
                </c:pt>
                <c:pt idx="1">
                  <c:v>0</c:v>
                </c:pt>
                <c:pt idx="2">
                  <c:v>0</c:v>
                </c:pt>
              </c:numCache>
            </c:numRef>
          </c:val>
          <c:extLst>
            <c:ext xmlns:c16="http://schemas.microsoft.com/office/drawing/2014/chart" uri="{C3380CC4-5D6E-409C-BE32-E72D297353CC}">
              <c16:uniqueId val="{00000000-7DBE-4FDF-B3CE-2409B27A560D}"/>
            </c:ext>
          </c:extLst>
        </c:ser>
        <c:ser>
          <c:idx val="2"/>
          <c:order val="1"/>
          <c:tx>
            <c:strRef>
              <c:f>'Habitat carbon storage'!$F$17:$F$18</c:f>
              <c:strCache>
                <c:ptCount val="2"/>
                <c:pt idx="0">
                  <c:v>Habitat emissions:</c:v>
                </c:pt>
                <c:pt idx="1">
                  <c:v>High GHG flux</c:v>
                </c:pt>
              </c:strCache>
            </c:strRef>
          </c:tx>
          <c:spPr>
            <a:solidFill>
              <a:schemeClr val="accent3"/>
            </a:solidFill>
            <a:ln>
              <a:noFill/>
            </a:ln>
            <a:effectLst/>
          </c:spPr>
          <c:invertIfNegative val="0"/>
          <c:cat>
            <c:strRef>
              <c:f>'Habitat carbon storage'!$C$19:$C$21</c:f>
              <c:strCache>
                <c:ptCount val="3"/>
                <c:pt idx="0">
                  <c:v>Calcareous Grassland</c:v>
                </c:pt>
                <c:pt idx="1">
                  <c:v> </c:v>
                </c:pt>
                <c:pt idx="2">
                  <c:v> </c:v>
                </c:pt>
              </c:strCache>
            </c:strRef>
          </c:cat>
          <c:val>
            <c:numRef>
              <c:f>'Habitat carbon storage'!$F$19:$F$21</c:f>
              <c:numCache>
                <c:formatCode>0</c:formatCode>
                <c:ptCount val="3"/>
                <c:pt idx="0">
                  <c:v>0</c:v>
                </c:pt>
                <c:pt idx="1">
                  <c:v>0</c:v>
                </c:pt>
                <c:pt idx="2">
                  <c:v>0</c:v>
                </c:pt>
              </c:numCache>
            </c:numRef>
          </c:val>
          <c:extLst>
            <c:ext xmlns:c16="http://schemas.microsoft.com/office/drawing/2014/chart" uri="{C3380CC4-5D6E-409C-BE32-E72D297353CC}">
              <c16:uniqueId val="{00000002-7DBE-4FDF-B3CE-2409B27A560D}"/>
            </c:ext>
          </c:extLst>
        </c:ser>
        <c:ser>
          <c:idx val="3"/>
          <c:order val="2"/>
          <c:tx>
            <c:strRef>
              <c:f>'Habitat carbon storage'!$G$17:$G$18</c:f>
              <c:strCache>
                <c:ptCount val="2"/>
                <c:pt idx="0">
                  <c:v>Habitat sequestration:</c:v>
                </c:pt>
                <c:pt idx="1">
                  <c:v>Low GHG flux</c:v>
                </c:pt>
              </c:strCache>
            </c:strRef>
          </c:tx>
          <c:spPr>
            <a:solidFill>
              <a:schemeClr val="accent4"/>
            </a:solidFill>
            <a:ln>
              <a:noFill/>
            </a:ln>
            <a:effectLst/>
          </c:spPr>
          <c:invertIfNegative val="0"/>
          <c:cat>
            <c:strRef>
              <c:f>'Habitat carbon storage'!$C$19:$C$21</c:f>
              <c:strCache>
                <c:ptCount val="3"/>
                <c:pt idx="0">
                  <c:v>Calcareous Grassland</c:v>
                </c:pt>
                <c:pt idx="1">
                  <c:v> </c:v>
                </c:pt>
                <c:pt idx="2">
                  <c:v> </c:v>
                </c:pt>
              </c:strCache>
            </c:strRef>
          </c:cat>
          <c:val>
            <c:numRef>
              <c:f>'Habitat carbon storage'!$G$19:$G$21</c:f>
              <c:numCache>
                <c:formatCode>0</c:formatCode>
                <c:ptCount val="3"/>
                <c:pt idx="0">
                  <c:v>0</c:v>
                </c:pt>
                <c:pt idx="1">
                  <c:v>0</c:v>
                </c:pt>
                <c:pt idx="2">
                  <c:v>0</c:v>
                </c:pt>
              </c:numCache>
            </c:numRef>
          </c:val>
          <c:extLst>
            <c:ext xmlns:c16="http://schemas.microsoft.com/office/drawing/2014/chart" uri="{C3380CC4-5D6E-409C-BE32-E72D297353CC}">
              <c16:uniqueId val="{00000003-7DBE-4FDF-B3CE-2409B27A560D}"/>
            </c:ext>
          </c:extLst>
        </c:ser>
        <c:ser>
          <c:idx val="5"/>
          <c:order val="3"/>
          <c:tx>
            <c:strRef>
              <c:f>'Habitat carbon storage'!$H$17:$H$18</c:f>
              <c:strCache>
                <c:ptCount val="2"/>
                <c:pt idx="0">
                  <c:v>Habitat sequestration:</c:v>
                </c:pt>
                <c:pt idx="1">
                  <c:v>High GHG flux</c:v>
                </c:pt>
              </c:strCache>
            </c:strRef>
          </c:tx>
          <c:spPr>
            <a:solidFill>
              <a:schemeClr val="accent6"/>
            </a:solidFill>
            <a:ln>
              <a:noFill/>
            </a:ln>
            <a:effectLst/>
          </c:spPr>
          <c:invertIfNegative val="0"/>
          <c:cat>
            <c:strRef>
              <c:f>'Habitat carbon storage'!$C$19:$C$21</c:f>
              <c:strCache>
                <c:ptCount val="3"/>
                <c:pt idx="0">
                  <c:v>Calcareous Grassland</c:v>
                </c:pt>
                <c:pt idx="1">
                  <c:v> </c:v>
                </c:pt>
                <c:pt idx="2">
                  <c:v> </c:v>
                </c:pt>
              </c:strCache>
            </c:strRef>
          </c:cat>
          <c:val>
            <c:numRef>
              <c:f>'Habitat carbon storage'!$H$19:$H$21</c:f>
              <c:numCache>
                <c:formatCode>0</c:formatCode>
                <c:ptCount val="3"/>
                <c:pt idx="0">
                  <c:v>0</c:v>
                </c:pt>
                <c:pt idx="1">
                  <c:v>0</c:v>
                </c:pt>
                <c:pt idx="2">
                  <c:v>0</c:v>
                </c:pt>
              </c:numCache>
            </c:numRef>
          </c:val>
          <c:extLst>
            <c:ext xmlns:c16="http://schemas.microsoft.com/office/drawing/2014/chart" uri="{C3380CC4-5D6E-409C-BE32-E72D297353CC}">
              <c16:uniqueId val="{00000005-7DBE-4FDF-B3CE-2409B27A560D}"/>
            </c:ext>
          </c:extLst>
        </c:ser>
        <c:dLbls>
          <c:showLegendKey val="0"/>
          <c:showVal val="0"/>
          <c:showCatName val="0"/>
          <c:showSerName val="0"/>
          <c:showPercent val="0"/>
          <c:showBubbleSize val="0"/>
        </c:dLbls>
        <c:gapWidth val="150"/>
        <c:axId val="407968767"/>
        <c:axId val="407980831"/>
      </c:barChart>
      <c:catAx>
        <c:axId val="40796876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07980831"/>
        <c:crosses val="autoZero"/>
        <c:auto val="1"/>
        <c:lblAlgn val="ctr"/>
        <c:lblOffset val="100"/>
        <c:noMultiLvlLbl val="0"/>
      </c:catAx>
      <c:valAx>
        <c:axId val="4079808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GB" sz="1200" b="0" i="0" baseline="0">
                    <a:solidFill>
                      <a:sysClr val="windowText" lastClr="000000"/>
                    </a:solidFill>
                    <a:effectLst/>
                  </a:rPr>
                  <a:t>GHG emissions and sequestration </a:t>
                </a:r>
                <a:br>
                  <a:rPr lang="en-GB" sz="1200" b="0" i="0" baseline="0">
                    <a:solidFill>
                      <a:sysClr val="windowText" lastClr="000000"/>
                    </a:solidFill>
                    <a:effectLst/>
                  </a:rPr>
                </a:br>
                <a:r>
                  <a:rPr lang="en-GB" sz="1200" b="0" i="0" baseline="0">
                    <a:solidFill>
                      <a:sysClr val="windowText" lastClr="000000"/>
                    </a:solidFill>
                    <a:effectLst/>
                  </a:rPr>
                  <a:t>(tonnes CO</a:t>
                </a:r>
                <a:r>
                  <a:rPr lang="en-GB" sz="1200" b="0" i="0" baseline="-25000">
                    <a:solidFill>
                      <a:sysClr val="windowText" lastClr="000000"/>
                    </a:solidFill>
                    <a:effectLst/>
                  </a:rPr>
                  <a:t>2</a:t>
                </a:r>
                <a:r>
                  <a:rPr lang="en-GB" sz="1200" b="0" i="0" baseline="0">
                    <a:solidFill>
                      <a:sysClr val="windowText" lastClr="000000"/>
                    </a:solidFill>
                    <a:effectLst/>
                  </a:rPr>
                  <a:t>e yr</a:t>
                </a:r>
                <a:r>
                  <a:rPr lang="en-GB" sz="1200" b="0" i="0" baseline="30000">
                    <a:solidFill>
                      <a:sysClr val="windowText" lastClr="000000"/>
                    </a:solidFill>
                    <a:effectLst/>
                  </a:rPr>
                  <a:t>-1</a:t>
                </a:r>
                <a:r>
                  <a:rPr lang="en-GB" sz="1200" b="0" i="0" baseline="0">
                    <a:solidFill>
                      <a:sysClr val="windowText" lastClr="000000"/>
                    </a:solidFill>
                    <a:effectLst/>
                  </a:rPr>
                  <a:t>)</a:t>
                </a:r>
                <a:endParaRPr lang="en-GB" sz="1200">
                  <a:solidFill>
                    <a:sysClr val="windowText" lastClr="000000"/>
                  </a:solidFill>
                  <a:effectLst/>
                </a:endParaRPr>
              </a:p>
            </c:rich>
          </c:tx>
          <c:layout>
            <c:manualLayout>
              <c:xMode val="edge"/>
              <c:yMode val="edge"/>
              <c:x val="2.3508086258523177E-3"/>
              <c:y val="0.15936292704556348"/>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07968767"/>
        <c:crosses val="autoZero"/>
        <c:crossBetween val="between"/>
      </c:valAx>
      <c:spPr>
        <a:noFill/>
        <a:ln>
          <a:noFill/>
        </a:ln>
        <a:effectLst/>
      </c:spPr>
    </c:plotArea>
    <c:legend>
      <c:legendPos val="r"/>
      <c:layout>
        <c:manualLayout>
          <c:xMode val="edge"/>
          <c:yMode val="edge"/>
          <c:x val="0.70983920113434096"/>
          <c:y val="0.22250690804411913"/>
          <c:w val="0.28164781126497118"/>
          <c:h val="0.6581083688649590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GB" sz="1400" b="1" i="0" u="none" strike="noStrike" kern="1200" spc="0" baseline="0">
                <a:solidFill>
                  <a:sysClr val="windowText" lastClr="000000"/>
                </a:solidFill>
                <a:effectLst/>
                <a:latin typeface="+mn-lt"/>
                <a:ea typeface="+mn-ea"/>
                <a:cs typeface="+mn-cs"/>
              </a:defRPr>
            </a:pPr>
            <a:r>
              <a:rPr lang="en-GB" sz="1400" b="1" i="0" u="none" strike="noStrike" kern="1200" spc="0" baseline="0">
                <a:solidFill>
                  <a:sysClr val="windowText" lastClr="000000"/>
                </a:solidFill>
                <a:effectLst/>
                <a:latin typeface="+mn-lt"/>
                <a:ea typeface="+mn-ea"/>
                <a:cs typeface="+mn-cs"/>
              </a:rPr>
              <a:t>Annual emissions and sequestration per ha</a:t>
            </a:r>
          </a:p>
        </c:rich>
      </c:tx>
      <c:overlay val="0"/>
      <c:spPr>
        <a:noFill/>
        <a:ln>
          <a:noFill/>
        </a:ln>
        <a:effectLst/>
      </c:spPr>
      <c:txPr>
        <a:bodyPr rot="0" spcFirstLastPara="1" vertOverflow="ellipsis" vert="horz" wrap="square" anchor="ctr" anchorCtr="1"/>
        <a:lstStyle/>
        <a:p>
          <a:pPr>
            <a:defRPr lang="en-GB" sz="1400" b="1" i="0" u="none" strike="noStrike" kern="1200" spc="0" baseline="0">
              <a:solidFill>
                <a:sysClr val="windowText" lastClr="000000"/>
              </a:solidFill>
              <a:effectLst/>
              <a:latin typeface="+mn-lt"/>
              <a:ea typeface="+mn-ea"/>
              <a:cs typeface="+mn-cs"/>
            </a:defRPr>
          </a:pPr>
          <a:endParaRPr lang="en-US"/>
        </a:p>
      </c:txPr>
    </c:title>
    <c:autoTitleDeleted val="0"/>
    <c:plotArea>
      <c:layout>
        <c:manualLayout>
          <c:layoutTarget val="inner"/>
          <c:xMode val="edge"/>
          <c:yMode val="edge"/>
          <c:x val="0.15989637191810863"/>
          <c:y val="0.12192399601025762"/>
          <c:w val="0.53161325903923218"/>
          <c:h val="0.7323584967391541"/>
        </c:manualLayout>
      </c:layout>
      <c:barChart>
        <c:barDir val="col"/>
        <c:grouping val="clustered"/>
        <c:varyColors val="0"/>
        <c:ser>
          <c:idx val="0"/>
          <c:order val="0"/>
          <c:tx>
            <c:strRef>
              <c:f>'Habitat carbon storage'!$I$17:$I$18</c:f>
              <c:strCache>
                <c:ptCount val="2"/>
                <c:pt idx="0">
                  <c:v>Habitat emissions:</c:v>
                </c:pt>
                <c:pt idx="1">
                  <c:v>Low GHG flux</c:v>
                </c:pt>
              </c:strCache>
            </c:strRef>
          </c:tx>
          <c:spPr>
            <a:solidFill>
              <a:schemeClr val="accent1"/>
            </a:solidFill>
            <a:ln>
              <a:noFill/>
            </a:ln>
            <a:effectLst/>
          </c:spPr>
          <c:invertIfNegative val="0"/>
          <c:cat>
            <c:strRef>
              <c:f>'Habitat carbon storage'!$C$19:$C$21</c:f>
              <c:strCache>
                <c:ptCount val="3"/>
                <c:pt idx="0">
                  <c:v>Calcareous Grassland</c:v>
                </c:pt>
                <c:pt idx="1">
                  <c:v> </c:v>
                </c:pt>
                <c:pt idx="2">
                  <c:v> </c:v>
                </c:pt>
              </c:strCache>
            </c:strRef>
          </c:cat>
          <c:val>
            <c:numRef>
              <c:f>'Habitat carbon storage'!$I$19:$I$21</c:f>
              <c:numCache>
                <c:formatCode>0.00</c:formatCode>
                <c:ptCount val="3"/>
                <c:pt idx="0">
                  <c:v>0</c:v>
                </c:pt>
                <c:pt idx="1">
                  <c:v>0</c:v>
                </c:pt>
                <c:pt idx="2">
                  <c:v>0</c:v>
                </c:pt>
              </c:numCache>
            </c:numRef>
          </c:val>
          <c:extLst>
            <c:ext xmlns:c16="http://schemas.microsoft.com/office/drawing/2014/chart" uri="{C3380CC4-5D6E-409C-BE32-E72D297353CC}">
              <c16:uniqueId val="{00000000-E9A2-4084-B481-CB45F21C3B50}"/>
            </c:ext>
          </c:extLst>
        </c:ser>
        <c:ser>
          <c:idx val="2"/>
          <c:order val="1"/>
          <c:tx>
            <c:strRef>
              <c:f>'Habitat carbon storage'!$J$17:$J$18</c:f>
              <c:strCache>
                <c:ptCount val="2"/>
                <c:pt idx="0">
                  <c:v>Habitat emissions:</c:v>
                </c:pt>
                <c:pt idx="1">
                  <c:v>High GHG flux</c:v>
                </c:pt>
              </c:strCache>
            </c:strRef>
          </c:tx>
          <c:spPr>
            <a:solidFill>
              <a:schemeClr val="accent3"/>
            </a:solidFill>
            <a:ln>
              <a:noFill/>
            </a:ln>
            <a:effectLst/>
          </c:spPr>
          <c:invertIfNegative val="0"/>
          <c:cat>
            <c:strRef>
              <c:f>'Habitat carbon storage'!$C$19:$C$21</c:f>
              <c:strCache>
                <c:ptCount val="3"/>
                <c:pt idx="0">
                  <c:v>Calcareous Grassland</c:v>
                </c:pt>
                <c:pt idx="1">
                  <c:v> </c:v>
                </c:pt>
                <c:pt idx="2">
                  <c:v> </c:v>
                </c:pt>
              </c:strCache>
            </c:strRef>
          </c:cat>
          <c:val>
            <c:numRef>
              <c:f>'Habitat carbon storage'!$J$19:$J$21</c:f>
              <c:numCache>
                <c:formatCode>0.00</c:formatCode>
                <c:ptCount val="3"/>
                <c:pt idx="0">
                  <c:v>0.04</c:v>
                </c:pt>
                <c:pt idx="1">
                  <c:v>0</c:v>
                </c:pt>
                <c:pt idx="2">
                  <c:v>0</c:v>
                </c:pt>
              </c:numCache>
            </c:numRef>
          </c:val>
          <c:extLst>
            <c:ext xmlns:c16="http://schemas.microsoft.com/office/drawing/2014/chart" uri="{C3380CC4-5D6E-409C-BE32-E72D297353CC}">
              <c16:uniqueId val="{00000002-E9A2-4084-B481-CB45F21C3B50}"/>
            </c:ext>
          </c:extLst>
        </c:ser>
        <c:ser>
          <c:idx val="3"/>
          <c:order val="2"/>
          <c:tx>
            <c:strRef>
              <c:f>'Habitat carbon storage'!$K$17:$K$18</c:f>
              <c:strCache>
                <c:ptCount val="2"/>
                <c:pt idx="0">
                  <c:v>Habitat sequestration:</c:v>
                </c:pt>
                <c:pt idx="1">
                  <c:v>Low GHG flux</c:v>
                </c:pt>
              </c:strCache>
            </c:strRef>
          </c:tx>
          <c:spPr>
            <a:solidFill>
              <a:schemeClr val="accent4"/>
            </a:solidFill>
            <a:ln>
              <a:noFill/>
            </a:ln>
            <a:effectLst/>
          </c:spPr>
          <c:invertIfNegative val="0"/>
          <c:cat>
            <c:strRef>
              <c:f>'Habitat carbon storage'!$C$19:$C$21</c:f>
              <c:strCache>
                <c:ptCount val="3"/>
                <c:pt idx="0">
                  <c:v>Calcareous Grassland</c:v>
                </c:pt>
                <c:pt idx="1">
                  <c:v> </c:v>
                </c:pt>
                <c:pt idx="2">
                  <c:v> </c:v>
                </c:pt>
              </c:strCache>
            </c:strRef>
          </c:cat>
          <c:val>
            <c:numRef>
              <c:f>'Habitat carbon storage'!$K$19:$K$21</c:f>
              <c:numCache>
                <c:formatCode>0.00</c:formatCode>
                <c:ptCount val="3"/>
                <c:pt idx="0">
                  <c:v>0</c:v>
                </c:pt>
                <c:pt idx="1">
                  <c:v>0</c:v>
                </c:pt>
                <c:pt idx="2">
                  <c:v>0</c:v>
                </c:pt>
              </c:numCache>
            </c:numRef>
          </c:val>
          <c:extLst>
            <c:ext xmlns:c16="http://schemas.microsoft.com/office/drawing/2014/chart" uri="{C3380CC4-5D6E-409C-BE32-E72D297353CC}">
              <c16:uniqueId val="{00000003-E9A2-4084-B481-CB45F21C3B50}"/>
            </c:ext>
          </c:extLst>
        </c:ser>
        <c:ser>
          <c:idx val="5"/>
          <c:order val="3"/>
          <c:tx>
            <c:strRef>
              <c:f>'Habitat carbon storage'!$L$17:$L$18</c:f>
              <c:strCache>
                <c:ptCount val="2"/>
                <c:pt idx="0">
                  <c:v>Habitat sequestration:</c:v>
                </c:pt>
                <c:pt idx="1">
                  <c:v>High GHG flux</c:v>
                </c:pt>
              </c:strCache>
            </c:strRef>
          </c:tx>
          <c:spPr>
            <a:solidFill>
              <a:schemeClr val="accent6"/>
            </a:solidFill>
            <a:ln>
              <a:noFill/>
            </a:ln>
            <a:effectLst/>
          </c:spPr>
          <c:invertIfNegative val="0"/>
          <c:cat>
            <c:strRef>
              <c:f>'Habitat carbon storage'!$C$19:$C$21</c:f>
              <c:strCache>
                <c:ptCount val="3"/>
                <c:pt idx="0">
                  <c:v>Calcareous Grassland</c:v>
                </c:pt>
                <c:pt idx="1">
                  <c:v> </c:v>
                </c:pt>
                <c:pt idx="2">
                  <c:v> </c:v>
                </c:pt>
              </c:strCache>
            </c:strRef>
          </c:cat>
          <c:val>
            <c:numRef>
              <c:f>'Habitat carbon storage'!$L$19:$L$21</c:f>
              <c:numCache>
                <c:formatCode>0.00</c:formatCode>
                <c:ptCount val="3"/>
                <c:pt idx="0">
                  <c:v>0</c:v>
                </c:pt>
                <c:pt idx="1">
                  <c:v>0</c:v>
                </c:pt>
                <c:pt idx="2">
                  <c:v>0</c:v>
                </c:pt>
              </c:numCache>
            </c:numRef>
          </c:val>
          <c:extLst>
            <c:ext xmlns:c16="http://schemas.microsoft.com/office/drawing/2014/chart" uri="{C3380CC4-5D6E-409C-BE32-E72D297353CC}">
              <c16:uniqueId val="{00000005-E9A2-4084-B481-CB45F21C3B50}"/>
            </c:ext>
          </c:extLst>
        </c:ser>
        <c:dLbls>
          <c:showLegendKey val="0"/>
          <c:showVal val="0"/>
          <c:showCatName val="0"/>
          <c:showSerName val="0"/>
          <c:showPercent val="0"/>
          <c:showBubbleSize val="0"/>
        </c:dLbls>
        <c:gapWidth val="150"/>
        <c:axId val="407968767"/>
        <c:axId val="407980831"/>
      </c:barChart>
      <c:catAx>
        <c:axId val="40796876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07980831"/>
        <c:crosses val="autoZero"/>
        <c:auto val="1"/>
        <c:lblAlgn val="ctr"/>
        <c:lblOffset val="100"/>
        <c:noMultiLvlLbl val="0"/>
      </c:catAx>
      <c:valAx>
        <c:axId val="4079808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sz="1200" b="0" i="0" baseline="0">
                    <a:solidFill>
                      <a:sysClr val="windowText" lastClr="000000"/>
                    </a:solidFill>
                    <a:effectLst/>
                  </a:rPr>
                  <a:t>GHG emissions and sequestration (</a:t>
                </a:r>
                <a:br>
                  <a:rPr lang="en-GB" sz="1200" b="0" i="0" baseline="0">
                    <a:solidFill>
                      <a:sysClr val="windowText" lastClr="000000"/>
                    </a:solidFill>
                    <a:effectLst/>
                  </a:rPr>
                </a:br>
                <a:r>
                  <a:rPr lang="en-GB" sz="1200" b="0" i="0" baseline="0">
                    <a:solidFill>
                      <a:sysClr val="windowText" lastClr="000000"/>
                    </a:solidFill>
                    <a:effectLst/>
                  </a:rPr>
                  <a:t>tonnes CO</a:t>
                </a:r>
                <a:r>
                  <a:rPr lang="en-GB" sz="1200" b="0" i="0" baseline="-25000">
                    <a:solidFill>
                      <a:sysClr val="windowText" lastClr="000000"/>
                    </a:solidFill>
                    <a:effectLst/>
                  </a:rPr>
                  <a:t>2</a:t>
                </a:r>
                <a:r>
                  <a:rPr lang="en-GB" sz="1200" b="0" i="0" baseline="0">
                    <a:solidFill>
                      <a:sysClr val="windowText" lastClr="000000"/>
                    </a:solidFill>
                    <a:effectLst/>
                  </a:rPr>
                  <a:t>e ha</a:t>
                </a:r>
                <a:r>
                  <a:rPr lang="en-GB" sz="1200" b="0" i="0" baseline="30000">
                    <a:solidFill>
                      <a:sysClr val="windowText" lastClr="000000"/>
                    </a:solidFill>
                    <a:effectLst/>
                  </a:rPr>
                  <a:t>-1</a:t>
                </a:r>
                <a:r>
                  <a:rPr lang="en-GB" sz="1200" b="0" i="0" baseline="0">
                    <a:solidFill>
                      <a:sysClr val="windowText" lastClr="000000"/>
                    </a:solidFill>
                    <a:effectLst/>
                  </a:rPr>
                  <a:t> yr</a:t>
                </a:r>
                <a:r>
                  <a:rPr lang="en-GB" sz="1200" b="0" i="0" baseline="30000">
                    <a:solidFill>
                      <a:sysClr val="windowText" lastClr="000000"/>
                    </a:solidFill>
                    <a:effectLst/>
                  </a:rPr>
                  <a:t>-1</a:t>
                </a:r>
                <a:r>
                  <a:rPr lang="en-GB" sz="1200" b="0" i="0" baseline="0">
                    <a:solidFill>
                      <a:sysClr val="windowText" lastClr="000000"/>
                    </a:solidFill>
                    <a:effectLst/>
                  </a:rPr>
                  <a:t>)</a:t>
                </a:r>
                <a:endParaRPr lang="en-GB" sz="1200">
                  <a:solidFill>
                    <a:sysClr val="windowText" lastClr="000000"/>
                  </a:solidFill>
                  <a:effectLst/>
                </a:endParaRPr>
              </a:p>
            </c:rich>
          </c:tx>
          <c:layout>
            <c:manualLayout>
              <c:xMode val="edge"/>
              <c:yMode val="edge"/>
              <c:x val="9.4220769577742329E-3"/>
              <c:y val="0.1588160931938302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07968767"/>
        <c:crosses val="autoZero"/>
        <c:crossBetween val="between"/>
      </c:valAx>
      <c:spPr>
        <a:noFill/>
        <a:ln>
          <a:noFill/>
        </a:ln>
        <a:effectLst/>
      </c:spPr>
    </c:plotArea>
    <c:legend>
      <c:legendPos val="r"/>
      <c:layout>
        <c:manualLayout>
          <c:xMode val="edge"/>
          <c:yMode val="edge"/>
          <c:x val="0.69248416654427525"/>
          <c:y val="0.2225069247766954"/>
          <c:w val="0.29474975696557154"/>
          <c:h val="0.6581083688649590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sz="1800" b="1" i="0" baseline="0">
                <a:solidFill>
                  <a:sysClr val="windowText" lastClr="000000"/>
                </a:solidFill>
                <a:effectLst/>
              </a:rPr>
              <a:t>GHG fluxes between livestock emissions, habitat emissions and habitat sequestration per site</a:t>
            </a:r>
            <a:endParaRPr lang="en-GB">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'Habitat carbon storage'!$S$15</c:f>
              <c:strCache>
                <c:ptCount val="1"/>
                <c:pt idx="0">
                  <c:v>Livestock emissions</c:v>
                </c:pt>
              </c:strCache>
            </c:strRef>
          </c:tx>
          <c:spPr>
            <a:solidFill>
              <a:schemeClr val="accent1"/>
            </a:solidFill>
            <a:ln>
              <a:noFill/>
            </a:ln>
            <a:effectLst/>
          </c:spPr>
          <c:invertIfNegative val="0"/>
          <c:cat>
            <c:strRef>
              <c:f>'Habitat carbon storage'!$R$17:$R$18</c:f>
              <c:strCache>
                <c:ptCount val="2"/>
                <c:pt idx="0">
                  <c:v>Low GHG flux</c:v>
                </c:pt>
                <c:pt idx="1">
                  <c:v>High GHG flux</c:v>
                </c:pt>
              </c:strCache>
            </c:strRef>
          </c:cat>
          <c:val>
            <c:numRef>
              <c:f>'Habitat carbon storage'!$S$17:$S$18</c:f>
              <c:numCache>
                <c:formatCode>General</c:formatCode>
                <c:ptCount val="2"/>
                <c:pt idx="0">
                  <c:v>0</c:v>
                </c:pt>
                <c:pt idx="1">
                  <c:v>0</c:v>
                </c:pt>
              </c:numCache>
            </c:numRef>
          </c:val>
          <c:extLst>
            <c:ext xmlns:c16="http://schemas.microsoft.com/office/drawing/2014/chart" uri="{C3380CC4-5D6E-409C-BE32-E72D297353CC}">
              <c16:uniqueId val="{00000000-A8F9-4A62-868F-A01D9EEAC6A1}"/>
            </c:ext>
          </c:extLst>
        </c:ser>
        <c:ser>
          <c:idx val="1"/>
          <c:order val="1"/>
          <c:tx>
            <c:strRef>
              <c:f>'Habitat carbon storage'!$T$15</c:f>
              <c:strCache>
                <c:ptCount val="1"/>
                <c:pt idx="0">
                  <c:v>Habitat emissions</c:v>
                </c:pt>
              </c:strCache>
            </c:strRef>
          </c:tx>
          <c:spPr>
            <a:solidFill>
              <a:schemeClr val="accent2"/>
            </a:solidFill>
            <a:ln>
              <a:noFill/>
            </a:ln>
            <a:effectLst/>
          </c:spPr>
          <c:invertIfNegative val="0"/>
          <c:cat>
            <c:strRef>
              <c:f>'Habitat carbon storage'!$R$17:$R$18</c:f>
              <c:strCache>
                <c:ptCount val="2"/>
                <c:pt idx="0">
                  <c:v>Low GHG flux</c:v>
                </c:pt>
                <c:pt idx="1">
                  <c:v>High GHG flux</c:v>
                </c:pt>
              </c:strCache>
            </c:strRef>
          </c:cat>
          <c:val>
            <c:numRef>
              <c:f>'Habitat carbon storage'!$T$17:$T$18</c:f>
              <c:numCache>
                <c:formatCode>General</c:formatCode>
                <c:ptCount val="2"/>
                <c:pt idx="0">
                  <c:v>0</c:v>
                </c:pt>
                <c:pt idx="1">
                  <c:v>0</c:v>
                </c:pt>
              </c:numCache>
            </c:numRef>
          </c:val>
          <c:extLst>
            <c:ext xmlns:c16="http://schemas.microsoft.com/office/drawing/2014/chart" uri="{C3380CC4-5D6E-409C-BE32-E72D297353CC}">
              <c16:uniqueId val="{00000001-A8F9-4A62-868F-A01D9EEAC6A1}"/>
            </c:ext>
          </c:extLst>
        </c:ser>
        <c:ser>
          <c:idx val="2"/>
          <c:order val="2"/>
          <c:tx>
            <c:strRef>
              <c:f>'Habitat carbon storage'!$U$15</c:f>
              <c:strCache>
                <c:ptCount val="1"/>
                <c:pt idx="0">
                  <c:v>Habitat sequestration</c:v>
                </c:pt>
              </c:strCache>
            </c:strRef>
          </c:tx>
          <c:spPr>
            <a:solidFill>
              <a:schemeClr val="accent3"/>
            </a:solidFill>
            <a:ln>
              <a:noFill/>
            </a:ln>
            <a:effectLst/>
          </c:spPr>
          <c:invertIfNegative val="0"/>
          <c:cat>
            <c:strRef>
              <c:f>'Habitat carbon storage'!$R$17:$R$18</c:f>
              <c:strCache>
                <c:ptCount val="2"/>
                <c:pt idx="0">
                  <c:v>Low GHG flux</c:v>
                </c:pt>
                <c:pt idx="1">
                  <c:v>High GHG flux</c:v>
                </c:pt>
              </c:strCache>
            </c:strRef>
          </c:cat>
          <c:val>
            <c:numRef>
              <c:f>'Habitat carbon storage'!$U$17:$U$18</c:f>
              <c:numCache>
                <c:formatCode>General</c:formatCode>
                <c:ptCount val="2"/>
                <c:pt idx="0">
                  <c:v>0</c:v>
                </c:pt>
                <c:pt idx="1">
                  <c:v>0</c:v>
                </c:pt>
              </c:numCache>
            </c:numRef>
          </c:val>
          <c:extLst>
            <c:ext xmlns:c16="http://schemas.microsoft.com/office/drawing/2014/chart" uri="{C3380CC4-5D6E-409C-BE32-E72D297353CC}">
              <c16:uniqueId val="{00000002-A8F9-4A62-868F-A01D9EEAC6A1}"/>
            </c:ext>
          </c:extLst>
        </c:ser>
        <c:dLbls>
          <c:showLegendKey val="0"/>
          <c:showVal val="0"/>
          <c:showCatName val="0"/>
          <c:showSerName val="0"/>
          <c:showPercent val="0"/>
          <c:showBubbleSize val="0"/>
        </c:dLbls>
        <c:gapWidth val="58"/>
        <c:overlap val="100"/>
        <c:axId val="1203179392"/>
        <c:axId val="1203179808"/>
      </c:barChart>
      <c:scatterChart>
        <c:scatterStyle val="lineMarker"/>
        <c:varyColors val="0"/>
        <c:ser>
          <c:idx val="3"/>
          <c:order val="3"/>
          <c:tx>
            <c:strRef>
              <c:f>'Habitat carbon storage'!$V$15</c:f>
              <c:strCache>
                <c:ptCount val="1"/>
                <c:pt idx="0">
                  <c:v>Carbon balance</c:v>
                </c:pt>
              </c:strCache>
            </c:strRef>
          </c:tx>
          <c:spPr>
            <a:ln w="25400" cap="rnd">
              <a:noFill/>
              <a:round/>
            </a:ln>
            <a:effectLst/>
          </c:spPr>
          <c:marker>
            <c:symbol val="circle"/>
            <c:size val="5"/>
            <c:spPr>
              <a:solidFill>
                <a:schemeClr val="accent5"/>
              </a:solidFill>
              <a:ln w="9525">
                <a:noFill/>
              </a:ln>
              <a:effectLst/>
            </c:spPr>
          </c:marker>
          <c:errBars>
            <c:errDir val="y"/>
            <c:errBarType val="both"/>
            <c:errValType val="fixedVal"/>
            <c:noEndCap val="1"/>
            <c:val val="1"/>
            <c:spPr>
              <a:noFill/>
              <a:ln w="9525" cap="flat" cmpd="sng" algn="ctr">
                <a:solidFill>
                  <a:schemeClr val="tx1">
                    <a:lumMod val="65000"/>
                    <a:lumOff val="35000"/>
                  </a:schemeClr>
                </a:solidFill>
                <a:round/>
              </a:ln>
              <a:effectLst/>
            </c:spPr>
          </c:errBars>
          <c:errBars>
            <c:errDir val="x"/>
            <c:errBarType val="both"/>
            <c:errValType val="fixedVal"/>
            <c:noEndCap val="1"/>
            <c:val val="0.5"/>
            <c:spPr>
              <a:noFill/>
              <a:ln w="31750" cap="flat" cmpd="sng" algn="ctr">
                <a:solidFill>
                  <a:schemeClr val="accent5"/>
                </a:solidFill>
                <a:round/>
              </a:ln>
              <a:effectLst/>
            </c:spPr>
          </c:errBars>
          <c:xVal>
            <c:strRef>
              <c:f>'Habitat carbon storage'!$R$17:$R$18</c:f>
              <c:strCache>
                <c:ptCount val="2"/>
                <c:pt idx="0">
                  <c:v>Low GHG flux</c:v>
                </c:pt>
                <c:pt idx="1">
                  <c:v>High GHG flux</c:v>
                </c:pt>
              </c:strCache>
            </c:strRef>
          </c:xVal>
          <c:yVal>
            <c:numRef>
              <c:f>'Habitat carbon storage'!$V$17:$V$18</c:f>
              <c:numCache>
                <c:formatCode>General</c:formatCode>
                <c:ptCount val="2"/>
                <c:pt idx="0">
                  <c:v>0</c:v>
                </c:pt>
                <c:pt idx="1">
                  <c:v>0</c:v>
                </c:pt>
              </c:numCache>
            </c:numRef>
          </c:yVal>
          <c:smooth val="0"/>
          <c:extLst>
            <c:ext xmlns:c16="http://schemas.microsoft.com/office/drawing/2014/chart" uri="{C3380CC4-5D6E-409C-BE32-E72D297353CC}">
              <c16:uniqueId val="{00000003-A8F9-4A62-868F-A01D9EEAC6A1}"/>
            </c:ext>
          </c:extLst>
        </c:ser>
        <c:dLbls>
          <c:showLegendKey val="0"/>
          <c:showVal val="0"/>
          <c:showCatName val="0"/>
          <c:showSerName val="0"/>
          <c:showPercent val="0"/>
          <c:showBubbleSize val="0"/>
        </c:dLbls>
        <c:axId val="1203179392"/>
        <c:axId val="1203179808"/>
      </c:scatterChart>
      <c:catAx>
        <c:axId val="12031793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03179808"/>
        <c:crosses val="autoZero"/>
        <c:auto val="1"/>
        <c:lblAlgn val="ctr"/>
        <c:lblOffset val="100"/>
        <c:noMultiLvlLbl val="0"/>
      </c:catAx>
      <c:valAx>
        <c:axId val="1203179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GB" sz="1200">
                    <a:solidFill>
                      <a:sysClr val="windowText" lastClr="000000"/>
                    </a:solidFill>
                  </a:rPr>
                  <a:t>Carbon emissions and sequestration </a:t>
                </a:r>
              </a:p>
              <a:p>
                <a:pPr>
                  <a:defRPr sz="1200">
                    <a:solidFill>
                      <a:sysClr val="windowText" lastClr="000000"/>
                    </a:solidFill>
                  </a:defRPr>
                </a:pPr>
                <a:r>
                  <a:rPr lang="en-GB" sz="1200">
                    <a:solidFill>
                      <a:sysClr val="windowText" lastClr="000000"/>
                    </a:solidFill>
                  </a:rPr>
                  <a:t>(tonnes CO</a:t>
                </a:r>
                <a:r>
                  <a:rPr lang="en-GB" sz="1200" baseline="-25000">
                    <a:solidFill>
                      <a:sysClr val="windowText" lastClr="000000"/>
                    </a:solidFill>
                  </a:rPr>
                  <a:t>2</a:t>
                </a:r>
                <a:r>
                  <a:rPr lang="en-GB" sz="1200">
                    <a:solidFill>
                      <a:sysClr val="windowText" lastClr="000000"/>
                    </a:solidFill>
                  </a:rPr>
                  <a:t>e yr</a:t>
                </a:r>
                <a:r>
                  <a:rPr lang="en-GB" sz="1200" baseline="30000">
                    <a:solidFill>
                      <a:sysClr val="windowText" lastClr="000000"/>
                    </a:solidFill>
                  </a:rPr>
                  <a:t>-1</a:t>
                </a:r>
                <a:r>
                  <a:rPr lang="en-GB" sz="1200">
                    <a:solidFill>
                      <a:sysClr val="windowText" lastClr="000000"/>
                    </a:solidFill>
                  </a:rPr>
                  <a:t>)</a:t>
                </a:r>
              </a:p>
            </c:rich>
          </c:tx>
          <c:layout>
            <c:manualLayout>
              <c:xMode val="edge"/>
              <c:yMode val="edge"/>
              <c:x val="7.7858880778588812E-3"/>
              <c:y val="0.20651988028546253"/>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203179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ysClr val="windowText" lastClr="000000"/>
                </a:solidFill>
                <a:effectLst/>
              </a:rPr>
              <a:t>GHG fluxes between livestock emissions, habitat emissions and habitat sequestration per hectare</a:t>
            </a:r>
            <a:endParaRPr lang="en-GB">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'Habitat carbon storage'!$S$22</c:f>
              <c:strCache>
                <c:ptCount val="1"/>
                <c:pt idx="0">
                  <c:v>Livestock emissions</c:v>
                </c:pt>
              </c:strCache>
            </c:strRef>
          </c:tx>
          <c:spPr>
            <a:solidFill>
              <a:schemeClr val="accent1"/>
            </a:solidFill>
            <a:ln>
              <a:noFill/>
            </a:ln>
            <a:effectLst/>
          </c:spPr>
          <c:invertIfNegative val="0"/>
          <c:cat>
            <c:strRef>
              <c:f>'Habitat carbon storage'!$S$23:$S$24</c:f>
              <c:strCache>
                <c:ptCount val="2"/>
                <c:pt idx="0">
                  <c:v>Low GHG flux</c:v>
                </c:pt>
                <c:pt idx="1">
                  <c:v>High GHG flux</c:v>
                </c:pt>
              </c:strCache>
            </c:strRef>
          </c:cat>
          <c:val>
            <c:numRef>
              <c:f>'Habitat carbon storage'!$T$23:$T$24</c:f>
              <c:numCache>
                <c:formatCode>General</c:formatCode>
                <c:ptCount val="2"/>
                <c:pt idx="0">
                  <c:v>0</c:v>
                </c:pt>
                <c:pt idx="1">
                  <c:v>0</c:v>
                </c:pt>
              </c:numCache>
            </c:numRef>
          </c:val>
          <c:extLst>
            <c:ext xmlns:c16="http://schemas.microsoft.com/office/drawing/2014/chart" uri="{C3380CC4-5D6E-409C-BE32-E72D297353CC}">
              <c16:uniqueId val="{00000000-7E91-44D9-91B8-E8523E4AFFAF}"/>
            </c:ext>
          </c:extLst>
        </c:ser>
        <c:ser>
          <c:idx val="1"/>
          <c:order val="1"/>
          <c:tx>
            <c:strRef>
              <c:f>'Habitat carbon storage'!$T$22</c:f>
              <c:strCache>
                <c:ptCount val="1"/>
                <c:pt idx="0">
                  <c:v>Habitat emissions</c:v>
                </c:pt>
              </c:strCache>
            </c:strRef>
          </c:tx>
          <c:spPr>
            <a:solidFill>
              <a:schemeClr val="accent2"/>
            </a:solidFill>
            <a:ln>
              <a:noFill/>
            </a:ln>
            <a:effectLst/>
          </c:spPr>
          <c:invertIfNegative val="0"/>
          <c:cat>
            <c:strRef>
              <c:f>'Habitat carbon storage'!$S$23:$S$24</c:f>
              <c:strCache>
                <c:ptCount val="2"/>
                <c:pt idx="0">
                  <c:v>Low GHG flux</c:v>
                </c:pt>
                <c:pt idx="1">
                  <c:v>High GHG flux</c:v>
                </c:pt>
              </c:strCache>
            </c:strRef>
          </c:cat>
          <c:val>
            <c:numRef>
              <c:f>'Habitat carbon storage'!$U$23:$U$24</c:f>
              <c:numCache>
                <c:formatCode>General</c:formatCode>
                <c:ptCount val="2"/>
                <c:pt idx="0">
                  <c:v>0</c:v>
                </c:pt>
                <c:pt idx="1">
                  <c:v>0.04</c:v>
                </c:pt>
              </c:numCache>
            </c:numRef>
          </c:val>
          <c:extLst>
            <c:ext xmlns:c16="http://schemas.microsoft.com/office/drawing/2014/chart" uri="{C3380CC4-5D6E-409C-BE32-E72D297353CC}">
              <c16:uniqueId val="{00000001-7E91-44D9-91B8-E8523E4AFFAF}"/>
            </c:ext>
          </c:extLst>
        </c:ser>
        <c:ser>
          <c:idx val="2"/>
          <c:order val="2"/>
          <c:tx>
            <c:strRef>
              <c:f>'Habitat carbon storage'!$U$22</c:f>
              <c:strCache>
                <c:ptCount val="1"/>
                <c:pt idx="0">
                  <c:v>Habitat sequestration</c:v>
                </c:pt>
              </c:strCache>
            </c:strRef>
          </c:tx>
          <c:spPr>
            <a:solidFill>
              <a:schemeClr val="accent3"/>
            </a:solidFill>
            <a:ln>
              <a:noFill/>
            </a:ln>
            <a:effectLst/>
          </c:spPr>
          <c:invertIfNegative val="0"/>
          <c:cat>
            <c:strRef>
              <c:f>'Habitat carbon storage'!$S$23:$S$24</c:f>
              <c:strCache>
                <c:ptCount val="2"/>
                <c:pt idx="0">
                  <c:v>Low GHG flux</c:v>
                </c:pt>
                <c:pt idx="1">
                  <c:v>High GHG flux</c:v>
                </c:pt>
              </c:strCache>
            </c:strRef>
          </c:cat>
          <c:val>
            <c:numRef>
              <c:f>'Habitat carbon storage'!$V$23:$V$24</c:f>
              <c:numCache>
                <c:formatCode>General</c:formatCode>
                <c:ptCount val="2"/>
                <c:pt idx="0">
                  <c:v>0</c:v>
                </c:pt>
                <c:pt idx="1">
                  <c:v>0</c:v>
                </c:pt>
              </c:numCache>
            </c:numRef>
          </c:val>
          <c:extLst>
            <c:ext xmlns:c16="http://schemas.microsoft.com/office/drawing/2014/chart" uri="{C3380CC4-5D6E-409C-BE32-E72D297353CC}">
              <c16:uniqueId val="{00000002-7E91-44D9-91B8-E8523E4AFFAF}"/>
            </c:ext>
          </c:extLst>
        </c:ser>
        <c:dLbls>
          <c:showLegendKey val="0"/>
          <c:showVal val="0"/>
          <c:showCatName val="0"/>
          <c:showSerName val="0"/>
          <c:showPercent val="0"/>
          <c:showBubbleSize val="0"/>
        </c:dLbls>
        <c:gapWidth val="150"/>
        <c:overlap val="100"/>
        <c:axId val="1213938224"/>
        <c:axId val="1213938640"/>
      </c:barChart>
      <c:scatterChart>
        <c:scatterStyle val="lineMarker"/>
        <c:varyColors val="0"/>
        <c:ser>
          <c:idx val="3"/>
          <c:order val="3"/>
          <c:tx>
            <c:strRef>
              <c:f>'Habitat carbon storage'!$V$22</c:f>
              <c:strCache>
                <c:ptCount val="1"/>
                <c:pt idx="0">
                  <c:v>Carbon balance</c:v>
                </c:pt>
              </c:strCache>
            </c:strRef>
          </c:tx>
          <c:spPr>
            <a:ln w="25400" cap="rnd">
              <a:noFill/>
              <a:round/>
            </a:ln>
            <a:effectLst/>
          </c:spPr>
          <c:marker>
            <c:symbol val="circle"/>
            <c:size val="5"/>
            <c:spPr>
              <a:solidFill>
                <a:schemeClr val="accent5"/>
              </a:solidFill>
              <a:ln w="9525">
                <a:noFill/>
              </a:ln>
              <a:effectLst/>
            </c:spPr>
          </c:marker>
          <c:errBars>
            <c:errDir val="x"/>
            <c:errBarType val="both"/>
            <c:errValType val="fixedVal"/>
            <c:noEndCap val="1"/>
            <c:val val="0.5"/>
            <c:spPr>
              <a:noFill/>
              <a:ln w="31750" cap="flat" cmpd="sng" algn="ctr">
                <a:solidFill>
                  <a:schemeClr val="accent5"/>
                </a:solidFill>
                <a:round/>
              </a:ln>
              <a:effectLst/>
            </c:spPr>
          </c:errBars>
          <c:xVal>
            <c:multiLvlStrRef>
              <c:f>'Habitat carbon storage'!$R$23:$S$25</c:f>
              <c:multiLvlStrCache>
                <c:ptCount val="2"/>
                <c:lvl>
                  <c:pt idx="0">
                    <c:v>Low GHG flux</c:v>
                  </c:pt>
                  <c:pt idx="1">
                    <c:v>High GHG flux</c:v>
                  </c:pt>
                </c:lvl>
                <c:lvl>
                  <c:pt idx="0">
                    <c:v>Total</c:v>
                  </c:pt>
                </c:lvl>
              </c:multiLvlStrCache>
            </c:multiLvlStrRef>
          </c:xVal>
          <c:yVal>
            <c:numRef>
              <c:f>'Habitat carbon storage'!$W$23:$W$25</c:f>
              <c:numCache>
                <c:formatCode>General</c:formatCode>
                <c:ptCount val="3"/>
                <c:pt idx="0">
                  <c:v>0</c:v>
                </c:pt>
                <c:pt idx="1">
                  <c:v>0</c:v>
                </c:pt>
                <c:pt idx="2">
                  <c:v>0.04</c:v>
                </c:pt>
              </c:numCache>
            </c:numRef>
          </c:yVal>
          <c:smooth val="0"/>
          <c:extLst>
            <c:ext xmlns:c16="http://schemas.microsoft.com/office/drawing/2014/chart" uri="{C3380CC4-5D6E-409C-BE32-E72D297353CC}">
              <c16:uniqueId val="{00000003-7E91-44D9-91B8-E8523E4AFFAF}"/>
            </c:ext>
          </c:extLst>
        </c:ser>
        <c:dLbls>
          <c:showLegendKey val="0"/>
          <c:showVal val="0"/>
          <c:showCatName val="0"/>
          <c:showSerName val="0"/>
          <c:showPercent val="0"/>
          <c:showBubbleSize val="0"/>
        </c:dLbls>
        <c:axId val="1213938224"/>
        <c:axId val="1213938640"/>
      </c:scatterChart>
      <c:catAx>
        <c:axId val="12139382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13938640"/>
        <c:crosses val="autoZero"/>
        <c:auto val="1"/>
        <c:lblAlgn val="ctr"/>
        <c:lblOffset val="100"/>
        <c:noMultiLvlLbl val="0"/>
      </c:catAx>
      <c:valAx>
        <c:axId val="1213938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GB" sz="1200" b="0" i="0" baseline="0">
                    <a:solidFill>
                      <a:sysClr val="windowText" lastClr="000000"/>
                    </a:solidFill>
                    <a:effectLst/>
                  </a:rPr>
                  <a:t>Carbon emissions and sequestration </a:t>
                </a:r>
              </a:p>
              <a:p>
                <a:pPr>
                  <a:defRPr sz="1200">
                    <a:solidFill>
                      <a:sysClr val="windowText" lastClr="000000"/>
                    </a:solidFill>
                  </a:defRPr>
                </a:pPr>
                <a:r>
                  <a:rPr lang="en-GB" sz="1200" b="0" i="0" baseline="0">
                    <a:solidFill>
                      <a:sysClr val="windowText" lastClr="000000"/>
                    </a:solidFill>
                    <a:effectLst/>
                  </a:rPr>
                  <a:t>(tonnes CO</a:t>
                </a:r>
                <a:r>
                  <a:rPr lang="en-GB" sz="1200" b="0" i="0" baseline="-25000">
                    <a:solidFill>
                      <a:sysClr val="windowText" lastClr="000000"/>
                    </a:solidFill>
                    <a:effectLst/>
                  </a:rPr>
                  <a:t>2</a:t>
                </a:r>
                <a:r>
                  <a:rPr lang="en-GB" sz="1200" b="0" i="0" baseline="0">
                    <a:solidFill>
                      <a:sysClr val="windowText" lastClr="000000"/>
                    </a:solidFill>
                    <a:effectLst/>
                  </a:rPr>
                  <a:t>e ha</a:t>
                </a:r>
                <a:r>
                  <a:rPr lang="en-GB" sz="1200" b="0" i="0" baseline="30000">
                    <a:solidFill>
                      <a:sysClr val="windowText" lastClr="000000"/>
                    </a:solidFill>
                    <a:effectLst/>
                  </a:rPr>
                  <a:t>-1</a:t>
                </a:r>
                <a:r>
                  <a:rPr lang="en-GB" sz="1200" b="0" i="0" baseline="0">
                    <a:solidFill>
                      <a:sysClr val="windowText" lastClr="000000"/>
                    </a:solidFill>
                    <a:effectLst/>
                  </a:rPr>
                  <a:t> yr</a:t>
                </a:r>
                <a:r>
                  <a:rPr lang="en-GB" sz="1200" b="0" i="0" baseline="30000">
                    <a:solidFill>
                      <a:sysClr val="windowText" lastClr="000000"/>
                    </a:solidFill>
                    <a:effectLst/>
                  </a:rPr>
                  <a:t>-1</a:t>
                </a:r>
                <a:r>
                  <a:rPr lang="en-GB" sz="1200" b="0" i="0" baseline="0">
                    <a:solidFill>
                      <a:sysClr val="windowText" lastClr="000000"/>
                    </a:solidFill>
                    <a:effectLst/>
                  </a:rPr>
                  <a:t>)</a:t>
                </a:r>
                <a:endParaRPr lang="en-GB" sz="1200">
                  <a:solidFill>
                    <a:sysClr val="windowText" lastClr="000000"/>
                  </a:solidFill>
                  <a:effectLst/>
                </a:endParaRPr>
              </a:p>
            </c:rich>
          </c:tx>
          <c:layout>
            <c:manualLayout>
              <c:xMode val="edge"/>
              <c:yMode val="edge"/>
              <c:x val="8.8202860467380701E-3"/>
              <c:y val="0.20631797754235168"/>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213938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ysClr val="windowText" lastClr="000000"/>
                </a:solidFill>
                <a:effectLst/>
              </a:rPr>
              <a:t>Annual emissions for site</a:t>
            </a:r>
            <a:endParaRPr lang="en-GB">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'Comparing Tiers 1 and 2'!$R$17</c:f>
              <c:strCache>
                <c:ptCount val="1"/>
                <c:pt idx="0">
                  <c:v>Methane 
(enteric and manures)</c:v>
                </c:pt>
              </c:strCache>
            </c:strRef>
          </c:tx>
          <c:spPr>
            <a:solidFill>
              <a:schemeClr val="accent1"/>
            </a:solidFill>
            <a:ln>
              <a:noFill/>
            </a:ln>
            <a:effectLst/>
          </c:spPr>
          <c:invertIfNegative val="0"/>
          <c:cat>
            <c:multiLvlStrRef>
              <c:f>'Comparing Tiers 1 and 2'!$P$18:$Q$23</c:f>
              <c:multiLvlStrCache>
                <c:ptCount val="6"/>
                <c:lvl>
                  <c:pt idx="0">
                    <c:v>Tier 1</c:v>
                  </c:pt>
                  <c:pt idx="1">
                    <c:v>Tier 2</c:v>
                  </c:pt>
                  <c:pt idx="2">
                    <c:v>Tier 1</c:v>
                  </c:pt>
                  <c:pt idx="3">
                    <c:v>Tier 2</c:v>
                  </c:pt>
                  <c:pt idx="4">
                    <c:v>Tier 1</c:v>
                  </c:pt>
                  <c:pt idx="5">
                    <c:v>Tier 2</c:v>
                  </c:pt>
                </c:lvl>
                <c:lvl>
                  <c:pt idx="0">
                    <c:v>Bison</c:v>
                  </c:pt>
                  <c:pt idx="1">
                    <c:v>Bison</c:v>
                  </c:pt>
                  <c:pt idx="2">
                    <c:v>Water buffalo</c:v>
                  </c:pt>
                  <c:pt idx="3">
                    <c:v>Water buffalo</c:v>
                  </c:pt>
                  <c:pt idx="4">
                    <c:v>Cattle</c:v>
                  </c:pt>
                  <c:pt idx="5">
                    <c:v>Cattle</c:v>
                  </c:pt>
                </c:lvl>
              </c:multiLvlStrCache>
            </c:multiLvlStrRef>
          </c:cat>
          <c:val>
            <c:numRef>
              <c:f>'Comparing Tiers 1 and 2'!$R$18:$R$23</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898-413A-913B-71E23CC4568E}"/>
            </c:ext>
          </c:extLst>
        </c:ser>
        <c:ser>
          <c:idx val="1"/>
          <c:order val="1"/>
          <c:tx>
            <c:strRef>
              <c:f>'Comparing Tiers 1 and 2'!$S$17</c:f>
              <c:strCache>
                <c:ptCount val="1"/>
                <c:pt idx="0">
                  <c:v>Nitrous oxide 
(manures)</c:v>
                </c:pt>
              </c:strCache>
            </c:strRef>
          </c:tx>
          <c:spPr>
            <a:solidFill>
              <a:schemeClr val="accent2"/>
            </a:solidFill>
            <a:ln>
              <a:noFill/>
            </a:ln>
            <a:effectLst/>
          </c:spPr>
          <c:invertIfNegative val="0"/>
          <c:cat>
            <c:multiLvlStrRef>
              <c:f>'Comparing Tiers 1 and 2'!$P$18:$Q$23</c:f>
              <c:multiLvlStrCache>
                <c:ptCount val="6"/>
                <c:lvl>
                  <c:pt idx="0">
                    <c:v>Tier 1</c:v>
                  </c:pt>
                  <c:pt idx="1">
                    <c:v>Tier 2</c:v>
                  </c:pt>
                  <c:pt idx="2">
                    <c:v>Tier 1</c:v>
                  </c:pt>
                  <c:pt idx="3">
                    <c:v>Tier 2</c:v>
                  </c:pt>
                  <c:pt idx="4">
                    <c:v>Tier 1</c:v>
                  </c:pt>
                  <c:pt idx="5">
                    <c:v>Tier 2</c:v>
                  </c:pt>
                </c:lvl>
                <c:lvl>
                  <c:pt idx="0">
                    <c:v>Bison</c:v>
                  </c:pt>
                  <c:pt idx="1">
                    <c:v>Bison</c:v>
                  </c:pt>
                  <c:pt idx="2">
                    <c:v>Water buffalo</c:v>
                  </c:pt>
                  <c:pt idx="3">
                    <c:v>Water buffalo</c:v>
                  </c:pt>
                  <c:pt idx="4">
                    <c:v>Cattle</c:v>
                  </c:pt>
                  <c:pt idx="5">
                    <c:v>Cattle</c:v>
                  </c:pt>
                </c:lvl>
              </c:multiLvlStrCache>
            </c:multiLvlStrRef>
          </c:cat>
          <c:val>
            <c:numRef>
              <c:f>'Comparing Tiers 1 and 2'!$S$18:$S$23</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898-413A-913B-71E23CC4568E}"/>
            </c:ext>
          </c:extLst>
        </c:ser>
        <c:dLbls>
          <c:showLegendKey val="0"/>
          <c:showVal val="0"/>
          <c:showCatName val="0"/>
          <c:showSerName val="0"/>
          <c:showPercent val="0"/>
          <c:showBubbleSize val="0"/>
        </c:dLbls>
        <c:gapWidth val="150"/>
        <c:overlap val="100"/>
        <c:axId val="160813392"/>
        <c:axId val="634114880"/>
      </c:barChart>
      <c:catAx>
        <c:axId val="160813392"/>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sz="1200" b="1">
                    <a:solidFill>
                      <a:sysClr val="windowText" lastClr="000000"/>
                    </a:solidFill>
                  </a:rPr>
                  <a:t>Species</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34114880"/>
        <c:crosses val="autoZero"/>
        <c:auto val="1"/>
        <c:lblAlgn val="ctr"/>
        <c:lblOffset val="100"/>
        <c:noMultiLvlLbl val="0"/>
      </c:catAx>
      <c:valAx>
        <c:axId val="634114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GB" sz="1200" b="1" i="0" baseline="0">
                    <a:effectLst/>
                  </a:rPr>
                  <a:t>Livestock GHG emissions </a:t>
                </a:r>
                <a:br>
                  <a:rPr lang="en-GB" sz="1200" b="1" i="0" baseline="0">
                    <a:effectLst/>
                  </a:rPr>
                </a:br>
                <a:r>
                  <a:rPr lang="en-GB" sz="1200" b="1" i="0" baseline="0">
                    <a:effectLst/>
                  </a:rPr>
                  <a:t>(tonnes CO</a:t>
                </a:r>
                <a:r>
                  <a:rPr lang="en-GB" sz="1200" b="1" i="0" baseline="-25000">
                    <a:effectLst/>
                  </a:rPr>
                  <a:t>2</a:t>
                </a:r>
                <a:r>
                  <a:rPr lang="en-GB" sz="1200" b="1" i="0" baseline="0">
                    <a:effectLst/>
                  </a:rPr>
                  <a:t>e yr</a:t>
                </a:r>
                <a:r>
                  <a:rPr lang="en-GB" sz="1200" b="1" i="0" baseline="30000">
                    <a:effectLst/>
                  </a:rPr>
                  <a:t>-1</a:t>
                </a:r>
                <a:r>
                  <a:rPr lang="en-GB" sz="1200" b="1" i="0" baseline="0">
                    <a:effectLst/>
                  </a:rPr>
                  <a:t>)</a:t>
                </a:r>
                <a:endParaRPr lang="en-GB" sz="1200">
                  <a:effectLst/>
                </a:endParaRP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08133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ysClr val="windowText" lastClr="000000"/>
                </a:solidFill>
                <a:effectLst/>
              </a:rPr>
              <a:t>Annual emissions for site</a:t>
            </a:r>
            <a:endParaRPr lang="en-GB">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'Comparing Tiers 1 and 2'!$R$41</c:f>
              <c:strCache>
                <c:ptCount val="1"/>
                <c:pt idx="0">
                  <c:v>Methane 
(enteric and manures)</c:v>
                </c:pt>
              </c:strCache>
            </c:strRef>
          </c:tx>
          <c:spPr>
            <a:solidFill>
              <a:schemeClr val="accent1"/>
            </a:solidFill>
            <a:ln>
              <a:noFill/>
            </a:ln>
            <a:effectLst/>
          </c:spPr>
          <c:invertIfNegative val="0"/>
          <c:cat>
            <c:multiLvlStrRef>
              <c:f>'Comparing Tiers 1 and 2'!$P$42:$Q$47</c:f>
              <c:multiLvlStrCache>
                <c:ptCount val="6"/>
                <c:lvl>
                  <c:pt idx="0">
                    <c:v>Tier 1</c:v>
                  </c:pt>
                  <c:pt idx="1">
                    <c:v>Tier 2</c:v>
                  </c:pt>
                  <c:pt idx="2">
                    <c:v>Tier 1</c:v>
                  </c:pt>
                  <c:pt idx="3">
                    <c:v>Tier 2</c:v>
                  </c:pt>
                  <c:pt idx="4">
                    <c:v>Tier 1</c:v>
                  </c:pt>
                  <c:pt idx="5">
                    <c:v>Tier 2</c:v>
                  </c:pt>
                </c:lvl>
                <c:lvl>
                  <c:pt idx="0">
                    <c:v>Bison</c:v>
                  </c:pt>
                  <c:pt idx="1">
                    <c:v>Bison</c:v>
                  </c:pt>
                  <c:pt idx="2">
                    <c:v>Water buffalo</c:v>
                  </c:pt>
                  <c:pt idx="3">
                    <c:v>Water buffalo</c:v>
                  </c:pt>
                  <c:pt idx="4">
                    <c:v>Cattle</c:v>
                  </c:pt>
                  <c:pt idx="5">
                    <c:v>Cattle</c:v>
                  </c:pt>
                </c:lvl>
              </c:multiLvlStrCache>
            </c:multiLvlStrRef>
          </c:cat>
          <c:val>
            <c:numRef>
              <c:f>'Comparing Tiers 1 and 2'!$R$42:$R$47</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987-4280-8084-633C49B58555}"/>
            </c:ext>
          </c:extLst>
        </c:ser>
        <c:ser>
          <c:idx val="1"/>
          <c:order val="1"/>
          <c:tx>
            <c:strRef>
              <c:f>'Comparing Tiers 1 and 2'!$S$41</c:f>
              <c:strCache>
                <c:ptCount val="1"/>
                <c:pt idx="0">
                  <c:v>Nitrous oxide 
(manures)</c:v>
                </c:pt>
              </c:strCache>
            </c:strRef>
          </c:tx>
          <c:spPr>
            <a:solidFill>
              <a:schemeClr val="accent2"/>
            </a:solidFill>
            <a:ln>
              <a:noFill/>
            </a:ln>
            <a:effectLst/>
          </c:spPr>
          <c:invertIfNegative val="0"/>
          <c:cat>
            <c:multiLvlStrRef>
              <c:f>'Comparing Tiers 1 and 2'!$P$42:$Q$47</c:f>
              <c:multiLvlStrCache>
                <c:ptCount val="6"/>
                <c:lvl>
                  <c:pt idx="0">
                    <c:v>Tier 1</c:v>
                  </c:pt>
                  <c:pt idx="1">
                    <c:v>Tier 2</c:v>
                  </c:pt>
                  <c:pt idx="2">
                    <c:v>Tier 1</c:v>
                  </c:pt>
                  <c:pt idx="3">
                    <c:v>Tier 2</c:v>
                  </c:pt>
                  <c:pt idx="4">
                    <c:v>Tier 1</c:v>
                  </c:pt>
                  <c:pt idx="5">
                    <c:v>Tier 2</c:v>
                  </c:pt>
                </c:lvl>
                <c:lvl>
                  <c:pt idx="0">
                    <c:v>Bison</c:v>
                  </c:pt>
                  <c:pt idx="1">
                    <c:v>Bison</c:v>
                  </c:pt>
                  <c:pt idx="2">
                    <c:v>Water buffalo</c:v>
                  </c:pt>
                  <c:pt idx="3">
                    <c:v>Water buffalo</c:v>
                  </c:pt>
                  <c:pt idx="4">
                    <c:v>Cattle</c:v>
                  </c:pt>
                  <c:pt idx="5">
                    <c:v>Cattle</c:v>
                  </c:pt>
                </c:lvl>
              </c:multiLvlStrCache>
            </c:multiLvlStrRef>
          </c:cat>
          <c:val>
            <c:numRef>
              <c:f>'Comparing Tiers 1 and 2'!$S$42:$S$47</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987-4280-8084-633C49B58555}"/>
            </c:ext>
          </c:extLst>
        </c:ser>
        <c:dLbls>
          <c:showLegendKey val="0"/>
          <c:showVal val="0"/>
          <c:showCatName val="0"/>
          <c:showSerName val="0"/>
          <c:showPercent val="0"/>
          <c:showBubbleSize val="0"/>
        </c:dLbls>
        <c:gapWidth val="150"/>
        <c:overlap val="100"/>
        <c:axId val="160813392"/>
        <c:axId val="634114880"/>
      </c:barChart>
      <c:catAx>
        <c:axId val="160813392"/>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sz="1200" b="1">
                    <a:solidFill>
                      <a:sysClr val="windowText" lastClr="000000"/>
                    </a:solidFill>
                  </a:rPr>
                  <a:t>Species</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34114880"/>
        <c:crosses val="autoZero"/>
        <c:auto val="1"/>
        <c:lblAlgn val="ctr"/>
        <c:lblOffset val="100"/>
        <c:noMultiLvlLbl val="0"/>
      </c:catAx>
      <c:valAx>
        <c:axId val="634114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GB" sz="1200" b="1" i="0" baseline="0">
                    <a:effectLst/>
                  </a:rPr>
                  <a:t>Livestock GHG emissions </a:t>
                </a:r>
                <a:br>
                  <a:rPr lang="en-GB" sz="1200" b="1" i="0" baseline="0">
                    <a:effectLst/>
                  </a:rPr>
                </a:br>
                <a:r>
                  <a:rPr lang="en-GB" sz="1200" b="1" i="0" baseline="0">
                    <a:effectLst/>
                  </a:rPr>
                  <a:t>(tonnes CO</a:t>
                </a:r>
                <a:r>
                  <a:rPr lang="en-GB" sz="1200" b="1" i="0" baseline="-25000">
                    <a:effectLst/>
                  </a:rPr>
                  <a:t>2</a:t>
                </a:r>
                <a:r>
                  <a:rPr lang="en-GB" sz="1200" b="1" i="0" baseline="0">
                    <a:effectLst/>
                  </a:rPr>
                  <a:t>e yr</a:t>
                </a:r>
                <a:r>
                  <a:rPr lang="en-GB" sz="1200" b="1" i="0" baseline="30000">
                    <a:effectLst/>
                  </a:rPr>
                  <a:t>-1 </a:t>
                </a:r>
                <a:r>
                  <a:rPr lang="en-GB" sz="1200" b="1" i="0" baseline="0">
                    <a:effectLst/>
                  </a:rPr>
                  <a:t>ha</a:t>
                </a:r>
                <a:r>
                  <a:rPr lang="en-GB" sz="1200" b="1" i="0" baseline="30000">
                    <a:effectLst/>
                  </a:rPr>
                  <a:t>-1</a:t>
                </a:r>
                <a:r>
                  <a:rPr lang="en-GB" sz="1200" b="1" i="0" baseline="0">
                    <a:effectLst/>
                  </a:rPr>
                  <a:t>)</a:t>
                </a:r>
                <a:endParaRPr lang="en-GB" sz="1200">
                  <a:effectLst/>
                </a:endParaRP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08133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3.png"/><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5</xdr:col>
      <xdr:colOff>0</xdr:colOff>
      <xdr:row>45</xdr:row>
      <xdr:rowOff>0</xdr:rowOff>
    </xdr:from>
    <xdr:to>
      <xdr:col>11</xdr:col>
      <xdr:colOff>2116</xdr:colOff>
      <xdr:row>61</xdr:row>
      <xdr:rowOff>120651</xdr:rowOff>
    </xdr:to>
    <xdr:sp macro="" textlink="">
      <xdr:nvSpPr>
        <xdr:cNvPr id="207" name="Rectangle 3">
          <a:extLst>
            <a:ext uri="{FF2B5EF4-FFF2-40B4-BE49-F238E27FC236}">
              <a16:creationId xmlns:a16="http://schemas.microsoft.com/office/drawing/2014/main" id="{4940B2B1-0A4E-7F36-6285-E93723FC5684}"/>
            </a:ext>
          </a:extLst>
        </xdr:cNvPr>
        <xdr:cNvSpPr/>
      </xdr:nvSpPr>
      <xdr:spPr>
        <a:xfrm>
          <a:off x="6953250" y="8905875"/>
          <a:ext cx="10574866" cy="3016251"/>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335492</xdr:colOff>
      <xdr:row>45</xdr:row>
      <xdr:rowOff>115356</xdr:rowOff>
    </xdr:from>
    <xdr:to>
      <xdr:col>10</xdr:col>
      <xdr:colOff>381000</xdr:colOff>
      <xdr:row>61</xdr:row>
      <xdr:rowOff>2115</xdr:rowOff>
    </xdr:to>
    <xdr:graphicFrame macro="">
      <xdr:nvGraphicFramePr>
        <xdr:cNvPr id="16" name="Chart 1">
          <a:extLst>
            <a:ext uri="{FF2B5EF4-FFF2-40B4-BE49-F238E27FC236}">
              <a16:creationId xmlns:a16="http://schemas.microsoft.com/office/drawing/2014/main" id="{5650E808-1861-AF38-7421-41F0B2AD16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349250</xdr:colOff>
      <xdr:row>0</xdr:row>
      <xdr:rowOff>85725</xdr:rowOff>
    </xdr:from>
    <xdr:to>
      <xdr:col>8</xdr:col>
      <xdr:colOff>1292225</xdr:colOff>
      <xdr:row>6</xdr:row>
      <xdr:rowOff>2540</xdr:rowOff>
    </xdr:to>
    <xdr:pic>
      <xdr:nvPicPr>
        <xdr:cNvPr id="2" name="Picture 1">
          <a:extLst>
            <a:ext uri="{FF2B5EF4-FFF2-40B4-BE49-F238E27FC236}">
              <a16:creationId xmlns:a16="http://schemas.microsoft.com/office/drawing/2014/main" id="{880D87CF-4192-C68E-B7E4-49279D8A5851}"/>
            </a:ext>
          </a:extLst>
        </xdr:cNvPr>
        <xdr:cNvPicPr>
          <a:picLocks noChangeAspect="1"/>
        </xdr:cNvPicPr>
      </xdr:nvPicPr>
      <xdr:blipFill rotWithShape="1">
        <a:blip xmlns:r="http://schemas.openxmlformats.org/officeDocument/2006/relationships" r:embed="rId2"/>
        <a:srcRect l="22322" r="22034"/>
        <a:stretch/>
      </xdr:blipFill>
      <xdr:spPr>
        <a:xfrm>
          <a:off x="12588875" y="85725"/>
          <a:ext cx="942975" cy="939800"/>
        </a:xfrm>
        <a:prstGeom prst="rect">
          <a:avLst/>
        </a:prstGeom>
      </xdr:spPr>
    </xdr:pic>
    <xdr:clientData/>
  </xdr:twoCellAnchor>
  <xdr:twoCellAnchor editAs="oneCell">
    <xdr:from>
      <xdr:col>8</xdr:col>
      <xdr:colOff>1400176</xdr:colOff>
      <xdr:row>0</xdr:row>
      <xdr:rowOff>82550</xdr:rowOff>
    </xdr:from>
    <xdr:to>
      <xdr:col>9</xdr:col>
      <xdr:colOff>1236346</xdr:colOff>
      <xdr:row>6</xdr:row>
      <xdr:rowOff>16339</xdr:rowOff>
    </xdr:to>
    <xdr:pic>
      <xdr:nvPicPr>
        <xdr:cNvPr id="3" name="Picture 2" descr="Leading the way in environmental research | ADAS">
          <a:extLst>
            <a:ext uri="{FF2B5EF4-FFF2-40B4-BE49-F238E27FC236}">
              <a16:creationId xmlns:a16="http://schemas.microsoft.com/office/drawing/2014/main" id="{1FA89BC0-198A-8C2A-D456-E91A8C480E7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639801" y="82550"/>
          <a:ext cx="942975" cy="947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494511</xdr:colOff>
      <xdr:row>1</xdr:row>
      <xdr:rowOff>106362</xdr:rowOff>
    </xdr:from>
    <xdr:to>
      <xdr:col>14</xdr:col>
      <xdr:colOff>260037</xdr:colOff>
      <xdr:row>6</xdr:row>
      <xdr:rowOff>142557</xdr:rowOff>
    </xdr:to>
    <xdr:pic>
      <xdr:nvPicPr>
        <xdr:cNvPr id="75" name="Picture 1">
          <a:extLst>
            <a:ext uri="{FF2B5EF4-FFF2-40B4-BE49-F238E27FC236}">
              <a16:creationId xmlns:a16="http://schemas.microsoft.com/office/drawing/2014/main" id="{78F69BA9-D7F7-4DD7-82B1-62F0944CC09B}"/>
            </a:ext>
          </a:extLst>
        </xdr:cNvPr>
        <xdr:cNvPicPr>
          <a:picLocks noChangeAspect="1"/>
        </xdr:cNvPicPr>
      </xdr:nvPicPr>
      <xdr:blipFill rotWithShape="1">
        <a:blip xmlns:r="http://schemas.openxmlformats.org/officeDocument/2006/relationships" r:embed="rId1"/>
        <a:srcRect l="22322" r="22034"/>
        <a:stretch/>
      </xdr:blipFill>
      <xdr:spPr>
        <a:xfrm>
          <a:off x="17127542" y="284956"/>
          <a:ext cx="1031716" cy="1092200"/>
        </a:xfrm>
        <a:prstGeom prst="rect">
          <a:avLst/>
        </a:prstGeom>
      </xdr:spPr>
    </xdr:pic>
    <xdr:clientData/>
  </xdr:twoCellAnchor>
  <xdr:twoCellAnchor editAs="oneCell">
    <xdr:from>
      <xdr:col>14</xdr:col>
      <xdr:colOff>303476</xdr:colOff>
      <xdr:row>1</xdr:row>
      <xdr:rowOff>103187</xdr:rowOff>
    </xdr:from>
    <xdr:to>
      <xdr:col>14</xdr:col>
      <xdr:colOff>1216250</xdr:colOff>
      <xdr:row>6</xdr:row>
      <xdr:rowOff>135189</xdr:rowOff>
    </xdr:to>
    <xdr:pic>
      <xdr:nvPicPr>
        <xdr:cNvPr id="76" name="Picture 2" descr="Leading the way in environmental research | ADAS">
          <a:extLst>
            <a:ext uri="{FF2B5EF4-FFF2-40B4-BE49-F238E27FC236}">
              <a16:creationId xmlns:a16="http://schemas.microsoft.com/office/drawing/2014/main" id="{C8A45CB7-F66A-4B88-9C06-4A18A4E3C2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34289" y="281781"/>
          <a:ext cx="912774" cy="1094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220132</xdr:colOff>
      <xdr:row>91</xdr:row>
      <xdr:rowOff>31220</xdr:rowOff>
    </xdr:from>
    <xdr:to>
      <xdr:col>9</xdr:col>
      <xdr:colOff>1047901</xdr:colOff>
      <xdr:row>107</xdr:row>
      <xdr:rowOff>143933</xdr:rowOff>
    </xdr:to>
    <xdr:graphicFrame macro="">
      <xdr:nvGraphicFramePr>
        <xdr:cNvPr id="98" name="Chart 3">
          <a:extLst>
            <a:ext uri="{FF2B5EF4-FFF2-40B4-BE49-F238E27FC236}">
              <a16:creationId xmlns:a16="http://schemas.microsoft.com/office/drawing/2014/main" id="{0C2B8D7C-A1F4-C053-7B6C-D5B6BCB2AE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57150</xdr:colOff>
      <xdr:row>22</xdr:row>
      <xdr:rowOff>76200</xdr:rowOff>
    </xdr:from>
    <xdr:to>
      <xdr:col>7</xdr:col>
      <xdr:colOff>1200150</xdr:colOff>
      <xdr:row>41</xdr:row>
      <xdr:rowOff>142240</xdr:rowOff>
    </xdr:to>
    <xdr:graphicFrame macro="">
      <xdr:nvGraphicFramePr>
        <xdr:cNvPr id="9" name="Chart 9">
          <a:extLst>
            <a:ext uri="{FF2B5EF4-FFF2-40B4-BE49-F238E27FC236}">
              <a16:creationId xmlns:a16="http://schemas.microsoft.com/office/drawing/2014/main" id="{A373123F-1823-0A93-2608-B6167CCDBA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55245</xdr:colOff>
      <xdr:row>22</xdr:row>
      <xdr:rowOff>17145</xdr:rowOff>
    </xdr:from>
    <xdr:to>
      <xdr:col>11</xdr:col>
      <xdr:colOff>1238250</xdr:colOff>
      <xdr:row>41</xdr:row>
      <xdr:rowOff>87630</xdr:rowOff>
    </xdr:to>
    <xdr:graphicFrame macro="">
      <xdr:nvGraphicFramePr>
        <xdr:cNvPr id="24" name="Chart 10">
          <a:extLst>
            <a:ext uri="{FF2B5EF4-FFF2-40B4-BE49-F238E27FC236}">
              <a16:creationId xmlns:a16="http://schemas.microsoft.com/office/drawing/2014/main" id="{63D41A63-814C-4E1E-9770-BA7B0CFB0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57149</xdr:colOff>
      <xdr:row>58</xdr:row>
      <xdr:rowOff>22859</xdr:rowOff>
    </xdr:from>
    <xdr:to>
      <xdr:col>9</xdr:col>
      <xdr:colOff>1209675</xdr:colOff>
      <xdr:row>80</xdr:row>
      <xdr:rowOff>133350</xdr:rowOff>
    </xdr:to>
    <xdr:graphicFrame macro="">
      <xdr:nvGraphicFramePr>
        <xdr:cNvPr id="93" name="Chart 91">
          <a:extLst>
            <a:ext uri="{FF2B5EF4-FFF2-40B4-BE49-F238E27FC236}">
              <a16:creationId xmlns:a16="http://schemas.microsoft.com/office/drawing/2014/main" id="{77F18A34-3CD7-062C-6F78-49B505294B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58736</xdr:colOff>
      <xdr:row>58</xdr:row>
      <xdr:rowOff>58737</xdr:rowOff>
    </xdr:from>
    <xdr:to>
      <xdr:col>15</xdr:col>
      <xdr:colOff>1257299</xdr:colOff>
      <xdr:row>80</xdr:row>
      <xdr:rowOff>114300</xdr:rowOff>
    </xdr:to>
    <xdr:graphicFrame macro="">
      <xdr:nvGraphicFramePr>
        <xdr:cNvPr id="96" name="Chart 93">
          <a:extLst>
            <a:ext uri="{FF2B5EF4-FFF2-40B4-BE49-F238E27FC236}">
              <a16:creationId xmlns:a16="http://schemas.microsoft.com/office/drawing/2014/main" id="{B96244F3-081F-6570-3C21-1EC1DCDD87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819150</xdr:colOff>
      <xdr:row>1</xdr:row>
      <xdr:rowOff>136525</xdr:rowOff>
    </xdr:from>
    <xdr:to>
      <xdr:col>9</xdr:col>
      <xdr:colOff>340995</xdr:colOff>
      <xdr:row>7</xdr:row>
      <xdr:rowOff>46990</xdr:rowOff>
    </xdr:to>
    <xdr:pic>
      <xdr:nvPicPr>
        <xdr:cNvPr id="4" name="Picture 3">
          <a:extLst>
            <a:ext uri="{FF2B5EF4-FFF2-40B4-BE49-F238E27FC236}">
              <a16:creationId xmlns:a16="http://schemas.microsoft.com/office/drawing/2014/main" id="{7B6A2C1A-CAFA-43EF-8A3C-EFA39E5D26EF}"/>
            </a:ext>
          </a:extLst>
        </xdr:cNvPr>
        <xdr:cNvPicPr>
          <a:picLocks noChangeAspect="1"/>
        </xdr:cNvPicPr>
      </xdr:nvPicPr>
      <xdr:blipFill rotWithShape="1">
        <a:blip xmlns:r="http://schemas.openxmlformats.org/officeDocument/2006/relationships" r:embed="rId1"/>
        <a:srcRect l="22322" r="22034"/>
        <a:stretch/>
      </xdr:blipFill>
      <xdr:spPr>
        <a:xfrm>
          <a:off x="11782425" y="317500"/>
          <a:ext cx="939165" cy="1139825"/>
        </a:xfrm>
        <a:prstGeom prst="rect">
          <a:avLst/>
        </a:prstGeom>
      </xdr:spPr>
    </xdr:pic>
    <xdr:clientData/>
  </xdr:twoCellAnchor>
  <xdr:twoCellAnchor editAs="oneCell">
    <xdr:from>
      <xdr:col>9</xdr:col>
      <xdr:colOff>517526</xdr:colOff>
      <xdr:row>1</xdr:row>
      <xdr:rowOff>133350</xdr:rowOff>
    </xdr:from>
    <xdr:to>
      <xdr:col>10</xdr:col>
      <xdr:colOff>352426</xdr:colOff>
      <xdr:row>7</xdr:row>
      <xdr:rowOff>59519</xdr:rowOff>
    </xdr:to>
    <xdr:pic>
      <xdr:nvPicPr>
        <xdr:cNvPr id="5" name="Picture 4" descr="Leading the way in environmental research | ADAS">
          <a:extLst>
            <a:ext uri="{FF2B5EF4-FFF2-40B4-BE49-F238E27FC236}">
              <a16:creationId xmlns:a16="http://schemas.microsoft.com/office/drawing/2014/main" id="{FA5774D5-AFAF-43BC-8ECE-35E717ED079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33351" y="314325"/>
          <a:ext cx="1257300" cy="1154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234950</xdr:colOff>
      <xdr:row>21</xdr:row>
      <xdr:rowOff>18097</xdr:rowOff>
    </xdr:from>
    <xdr:to>
      <xdr:col>10</xdr:col>
      <xdr:colOff>1208405</xdr:colOff>
      <xdr:row>35</xdr:row>
      <xdr:rowOff>123190</xdr:rowOff>
    </xdr:to>
    <xdr:graphicFrame macro="">
      <xdr:nvGraphicFramePr>
        <xdr:cNvPr id="8" name="Chart 7">
          <a:extLst>
            <a:ext uri="{FF2B5EF4-FFF2-40B4-BE49-F238E27FC236}">
              <a16:creationId xmlns:a16="http://schemas.microsoft.com/office/drawing/2014/main" id="{CCC077A2-8B22-73E6-0120-6269A67FCB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152400</xdr:colOff>
      <xdr:row>45</xdr:row>
      <xdr:rowOff>59372</xdr:rowOff>
    </xdr:from>
    <xdr:to>
      <xdr:col>10</xdr:col>
      <xdr:colOff>1125825</xdr:colOff>
      <xdr:row>59</xdr:row>
      <xdr:rowOff>161290</xdr:rowOff>
    </xdr:to>
    <xdr:graphicFrame macro="">
      <xdr:nvGraphicFramePr>
        <xdr:cNvPr id="9" name="Chart 8">
          <a:extLst>
            <a:ext uri="{FF2B5EF4-FFF2-40B4-BE49-F238E27FC236}">
              <a16:creationId xmlns:a16="http://schemas.microsoft.com/office/drawing/2014/main" id="{0C3FA610-0940-4291-861E-E2F7E7AC82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Laura Green" id="{BF1C5831-0BFD-453E-9C5D-7313AA340335}" userId="S::Laura.Green@adas.co.uk::7a327b91-7ecf-43c0-b567-e08d5ec96e55" providerId="AD"/>
  <person displayName="Frances Manning" id="{60BA63BE-0C1F-44A4-8E78-DCADD6E71DD4}" userId="S::Frances.Manning@adas.co.uk::47298221-6b47-45bf-b84a-5463c3f78441" providerId="AD"/>
</personList>
</file>

<file path=xl/theme/theme1.xml><?xml version="1.0" encoding="utf-8"?>
<a:theme xmlns:a="http://schemas.openxmlformats.org/drawingml/2006/main" name="PepsiCo">
  <a:themeElements>
    <a:clrScheme name="ADAS Custom">
      <a:dk1>
        <a:srgbClr val="575756"/>
      </a:dk1>
      <a:lt1>
        <a:sysClr val="window" lastClr="FFFFFF"/>
      </a:lt1>
      <a:dk2>
        <a:srgbClr val="000000"/>
      </a:dk2>
      <a:lt2>
        <a:srgbClr val="E7E6E6"/>
      </a:lt2>
      <a:accent1>
        <a:srgbClr val="005FAA"/>
      </a:accent1>
      <a:accent2>
        <a:srgbClr val="0DA4A3"/>
      </a:accent2>
      <a:accent3>
        <a:srgbClr val="A7C81E"/>
      </a:accent3>
      <a:accent4>
        <a:srgbClr val="55BFCC"/>
      </a:accent4>
      <a:accent5>
        <a:srgbClr val="F08D0C"/>
      </a:accent5>
      <a:accent6>
        <a:srgbClr val="FBEA27"/>
      </a:accent6>
      <a:hlink>
        <a:srgbClr val="0DA4A3"/>
      </a:hlink>
      <a:folHlink>
        <a:srgbClr val="A7C81E"/>
      </a:folHlink>
    </a:clrScheme>
    <a:fontScheme name="Office Them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DAS new2" id="{C192F0DE-2B64-48A8-858B-562576D45CBA}" vid="{2370362C-4610-41E5-B2C6-DE912174A9BA}"/>
    </a:ext>
  </a:extLst>
</a:theme>
</file>

<file path=xl/threadedComments/threadedComment1.xml><?xml version="1.0" encoding="utf-8"?>
<ThreadedComments xmlns="http://schemas.microsoft.com/office/spreadsheetml/2018/threadedcomments" xmlns:x="http://schemas.openxmlformats.org/spreadsheetml/2006/main">
  <threadedComment ref="AT6" dT="2023-01-23T14:10:11.81" personId="{60BA63BE-0C1F-44A4-8E78-DCADD6E71DD4}" id="{37A13BA0-A7A6-46FA-B4AA-045CECDFB217}">
    <text>Different equation for sheep</text>
  </threadedComment>
  <threadedComment ref="BA6" dT="2023-01-23T14:10:40.77" personId="{60BA63BE-0C1F-44A4-8E78-DCADD6E71DD4}" id="{F9FB0B0D-C047-4773-9127-2C2D9FFA8617}">
    <text>Different equation for sheep</text>
  </threadedComment>
  <threadedComment ref="BB6" dT="2023-01-23T14:11:08.44" personId="{60BA63BE-0C1F-44A4-8E78-DCADD6E71DD4}" id="{A49E8B01-6832-425D-B7DE-4CF02868C77A}">
    <text>Different equation for sheep</text>
  </threadedComment>
  <threadedComment ref="BC6" dT="2023-01-23T14:11:31.22" personId="{60BA63BE-0C1F-44A4-8E78-DCADD6E71DD4}" id="{DAFCC48A-4B8E-4030-B95A-81C18C383DEE}">
    <text>Different equation for sheep</text>
  </threadedComment>
  <threadedComment ref="BG6" dT="2023-01-23T14:12:21.34" personId="{60BA63BE-0C1F-44A4-8E78-DCADD6E71DD4}" id="{6D2E1537-452E-46BF-9867-68453F7FA905}">
    <text>Different equation for sheep</text>
  </threadedComment>
</ThreadedComments>
</file>

<file path=xl/threadedComments/threadedComment2.xml><?xml version="1.0" encoding="utf-8"?>
<ThreadedComments xmlns="http://schemas.microsoft.com/office/spreadsheetml/2018/threadedcomments" xmlns:x="http://schemas.openxmlformats.org/spreadsheetml/2006/main">
  <threadedComment ref="W6" dT="2023-01-23T14:06:38.74" personId="{60BA63BE-0C1F-44A4-8E78-DCADD6E71DD4}" id="{5879494A-EDA6-4F4D-AA44-A170053F1FD0}">
    <text>Different equation for sheep</text>
  </threadedComment>
  <threadedComment ref="BA6" dT="2023-01-23T14:07:21.13" personId="{60BA63BE-0C1F-44A4-8E78-DCADD6E71DD4}" id="{F9E12759-F1AE-4B3B-89CE-4DDE0EAEE8A4}">
    <text>Different equation for sheep</text>
  </threadedComment>
  <threadedComment ref="BB6" dT="2023-01-03T16:45:45.91" personId="{60BA63BE-0C1F-44A4-8E78-DCADD6E71DD4}" id="{267EE757-BC65-4408-8460-9B29A8FF34C7}">
    <text>Calculated on the methane page</text>
  </threadedComment>
  <threadedComment ref="BB6" dT="2023-01-23T14:08:33.88" personId="{60BA63BE-0C1F-44A4-8E78-DCADD6E71DD4}" id="{683ECCEB-DAD2-4CAA-987C-ADFF570781DB}" parentId="{267EE757-BC65-4408-8460-9B29A8FF34C7}">
    <text>Using a different equation for sheep</text>
  </threadedComment>
  <threadedComment ref="BF6" dT="2023-01-23T14:08:51.80" personId="{60BA63BE-0C1F-44A4-8E78-DCADD6E71DD4}" id="{93540AEB-843C-4CDC-A2B0-8C72754175C9}">
    <text>Using a different equation for sheep</text>
  </threadedComment>
</ThreadedComments>
</file>

<file path=xl/threadedComments/threadedComment3.xml><?xml version="1.0" encoding="utf-8"?>
<ThreadedComments xmlns="http://schemas.microsoft.com/office/spreadsheetml/2018/threadedcomments" xmlns:x="http://schemas.openxmlformats.org/spreadsheetml/2006/main">
  <threadedComment ref="J5" dT="2023-07-11T12:21:21.97" personId="{BF1C5831-0BFD-453E-9C5D-7313AA340335}" id="{1A1D28AD-1814-4E77-B493-D69097EAE6A9}">
    <text>LU - livestock unit equals 650 kg live weight for Ruminants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61046-DA6A-42EA-A1BF-98DC525780F9}">
  <sheetPr codeName="Sheet3">
    <tabColor theme="6"/>
  </sheetPr>
  <dimension ref="A1:AS152"/>
  <sheetViews>
    <sheetView tabSelected="1" workbookViewId="0">
      <selection activeCell="E30" sqref="E30"/>
    </sheetView>
  </sheetViews>
  <sheetFormatPr defaultColWidth="9.140625" defaultRowHeight="15" x14ac:dyDescent="0.25"/>
  <cols>
    <col min="1" max="1" width="2.5703125" style="29" customWidth="1"/>
    <col min="2" max="2" width="9.42578125" style="29" customWidth="1"/>
    <col min="3" max="3" width="35.140625" style="29" customWidth="1"/>
    <col min="4" max="4" width="25.85546875" style="29" customWidth="1"/>
    <col min="5" max="5" width="43.85546875" style="29" customWidth="1"/>
    <col min="6" max="7" width="20.5703125" style="29" customWidth="1"/>
    <col min="8" max="8" width="28.5703125" style="29" customWidth="1"/>
    <col min="9" max="9" width="20.5703125" style="29" customWidth="1"/>
    <col min="10" max="10" width="25.140625" style="29" bestFit="1" customWidth="1"/>
    <col min="11" max="11" width="20.5703125" style="29" customWidth="1"/>
    <col min="12" max="16384" width="9.140625" style="29"/>
  </cols>
  <sheetData>
    <row r="1" spans="3:8" s="19" customFormat="1" x14ac:dyDescent="0.25"/>
    <row r="2" spans="3:8" s="19" customFormat="1" ht="26.25" x14ac:dyDescent="0.4">
      <c r="C2" s="20" t="s">
        <v>283</v>
      </c>
    </row>
    <row r="3" spans="3:8" s="19" customFormat="1" x14ac:dyDescent="0.25"/>
    <row r="4" spans="3:8" s="19" customFormat="1" ht="14.85" customHeight="1" x14ac:dyDescent="0.25">
      <c r="C4" s="414" t="s">
        <v>425</v>
      </c>
      <c r="D4" s="414"/>
      <c r="E4" s="414"/>
      <c r="F4" s="414"/>
      <c r="G4" s="414"/>
      <c r="H4" s="414"/>
    </row>
    <row r="5" spans="3:8" s="19" customFormat="1" x14ac:dyDescent="0.25">
      <c r="C5" s="414"/>
      <c r="D5" s="414"/>
      <c r="E5" s="414"/>
      <c r="F5" s="414"/>
      <c r="G5" s="414"/>
      <c r="H5" s="414"/>
    </row>
    <row r="6" spans="3:8" s="19" customFormat="1" x14ac:dyDescent="0.25">
      <c r="C6" s="21" t="s">
        <v>284</v>
      </c>
      <c r="D6" s="21"/>
      <c r="E6" s="21"/>
      <c r="F6" s="21"/>
      <c r="G6" s="21"/>
      <c r="H6" s="21"/>
    </row>
    <row r="7" spans="3:8" s="19" customFormat="1" x14ac:dyDescent="0.25">
      <c r="C7" s="22" t="s">
        <v>285</v>
      </c>
      <c r="D7" s="21"/>
      <c r="E7" s="21"/>
      <c r="F7" s="21"/>
      <c r="G7" s="21"/>
      <c r="H7" s="21"/>
    </row>
    <row r="8" spans="3:8" s="19" customFormat="1" x14ac:dyDescent="0.25">
      <c r="C8" s="22" t="s">
        <v>286</v>
      </c>
      <c r="D8" s="21"/>
      <c r="E8" s="21"/>
      <c r="F8" s="21"/>
      <c r="G8" s="21"/>
      <c r="H8" s="21"/>
    </row>
    <row r="9" spans="3:8" s="19" customFormat="1" x14ac:dyDescent="0.25">
      <c r="C9" s="24" t="s">
        <v>287</v>
      </c>
    </row>
    <row r="10" spans="3:8" s="19" customFormat="1" x14ac:dyDescent="0.25"/>
    <row r="11" spans="3:8" s="25" customFormat="1" x14ac:dyDescent="0.25"/>
    <row r="12" spans="3:8" s="25" customFormat="1" x14ac:dyDescent="0.25">
      <c r="C12" s="421" t="s">
        <v>146</v>
      </c>
    </row>
    <row r="13" spans="3:8" s="25" customFormat="1" x14ac:dyDescent="0.25">
      <c r="C13" s="421"/>
    </row>
    <row r="14" spans="3:8" s="25" customFormat="1" x14ac:dyDescent="0.25">
      <c r="C14" s="421"/>
    </row>
    <row r="15" spans="3:8" s="25" customFormat="1" x14ac:dyDescent="0.25">
      <c r="H15" s="29"/>
    </row>
    <row r="16" spans="3:8" s="25" customFormat="1" x14ac:dyDescent="0.25"/>
    <row r="17" spans="1:45" s="25" customFormat="1" x14ac:dyDescent="0.25">
      <c r="C17" s="40" t="s">
        <v>134</v>
      </c>
      <c r="D17" s="40" t="s">
        <v>280</v>
      </c>
      <c r="E17" s="40"/>
    </row>
    <row r="18" spans="1:45" s="25" customFormat="1" ht="15.75" thickBot="1" x14ac:dyDescent="0.3"/>
    <row r="19" spans="1:45" ht="15" customHeight="1" thickBot="1" x14ac:dyDescent="0.3">
      <c r="A19" s="25"/>
      <c r="B19" s="25"/>
      <c r="C19" s="224" t="s">
        <v>159</v>
      </c>
      <c r="D19" s="225" t="s">
        <v>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row>
    <row r="20" spans="1:45" ht="15" customHeight="1" x14ac:dyDescent="0.25">
      <c r="A20" s="25"/>
      <c r="B20" s="25"/>
      <c r="C20" s="387" t="s">
        <v>382</v>
      </c>
      <c r="D20" s="273"/>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row>
    <row r="21" spans="1:45" s="25" customFormat="1" ht="15.6" customHeight="1" x14ac:dyDescent="0.25">
      <c r="C21" s="388" t="s">
        <v>74</v>
      </c>
      <c r="D21" s="274"/>
    </row>
    <row r="22" spans="1:45" s="25" customFormat="1" ht="15.6" customHeight="1" thickBot="1" x14ac:dyDescent="0.3">
      <c r="C22" s="389" t="s">
        <v>74</v>
      </c>
      <c r="D22" s="275"/>
    </row>
    <row r="23" spans="1:45" s="25" customFormat="1" ht="15.6" customHeight="1" thickBot="1" x14ac:dyDescent="0.3">
      <c r="C23" s="228" t="s">
        <v>273</v>
      </c>
      <c r="D23" s="229" t="str">
        <f>IF(AND(D20="",D21="",D22=""),"",SUM(D20:D22))</f>
        <v/>
      </c>
    </row>
    <row r="24" spans="1:45" s="25" customFormat="1" x14ac:dyDescent="0.25"/>
    <row r="25" spans="1:45" s="25" customFormat="1" x14ac:dyDescent="0.25">
      <c r="C25" s="421" t="s">
        <v>147</v>
      </c>
    </row>
    <row r="26" spans="1:45" s="25" customFormat="1" x14ac:dyDescent="0.25">
      <c r="C26" s="421"/>
    </row>
    <row r="27" spans="1:45" s="25" customFormat="1" x14ac:dyDescent="0.25">
      <c r="C27" s="421"/>
    </row>
    <row r="28" spans="1:45" s="25" customFormat="1" ht="45.75" thickBot="1" x14ac:dyDescent="0.3">
      <c r="C28" s="230" t="s">
        <v>9</v>
      </c>
      <c r="D28" s="424" t="s">
        <v>410</v>
      </c>
      <c r="E28" s="424"/>
      <c r="F28" s="230" t="s">
        <v>143</v>
      </c>
      <c r="G28" s="230" t="s">
        <v>144</v>
      </c>
      <c r="H28" s="230" t="s">
        <v>145</v>
      </c>
    </row>
    <row r="29" spans="1:45" s="25" customFormat="1" ht="15.75" thickBot="1" x14ac:dyDescent="0.3">
      <c r="C29" s="231"/>
      <c r="D29" s="231"/>
      <c r="E29" s="231"/>
      <c r="F29" s="422" t="s">
        <v>378</v>
      </c>
      <c r="G29" s="423"/>
      <c r="H29" s="231"/>
      <c r="I29" s="37"/>
      <c r="J29" s="37"/>
      <c r="K29" s="241"/>
    </row>
    <row r="30" spans="1:45" ht="30.75" thickBot="1" x14ac:dyDescent="0.3">
      <c r="A30" s="25"/>
      <c r="B30" s="25"/>
      <c r="C30" s="232" t="s">
        <v>10</v>
      </c>
      <c r="D30" s="323" t="s">
        <v>395</v>
      </c>
      <c r="E30" s="243" t="s">
        <v>396</v>
      </c>
      <c r="F30" s="317" t="s">
        <v>163</v>
      </c>
      <c r="G30" s="234" t="s">
        <v>164</v>
      </c>
      <c r="H30" s="235" t="s">
        <v>278</v>
      </c>
      <c r="I30" s="233" t="s">
        <v>140</v>
      </c>
      <c r="J30" s="234" t="s">
        <v>373</v>
      </c>
      <c r="K30" s="39" t="s">
        <v>117</v>
      </c>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row>
    <row r="31" spans="1:45" ht="15" customHeight="1" x14ac:dyDescent="0.25">
      <c r="A31" s="25"/>
      <c r="B31" s="237" t="s">
        <v>114</v>
      </c>
      <c r="C31" s="390" t="s">
        <v>12</v>
      </c>
      <c r="D31" s="391" t="s">
        <v>407</v>
      </c>
      <c r="E31" s="247" t="str">
        <f>IF(D31="","",VLOOKUP(D31,Lists!$D:$E,2,FALSE))</f>
        <v>N/A</v>
      </c>
      <c r="F31" s="396"/>
      <c r="G31" s="397"/>
      <c r="H31" s="402" t="s">
        <v>74</v>
      </c>
      <c r="I31" s="334" t="str">
        <f>IFERROR(($F31+($G31*0.4))*INDEX('Livestock assumptions'!J:J,MATCH('Conservation grazing tool'!$K31,'Livestock assumptions'!$B:$B,0))*($H31/100),"")</f>
        <v/>
      </c>
      <c r="J31" s="335" t="str" cm="1">
        <f t="array" ref="J31">IF(I31="","",_xlfn.IFS($I$31&gt;$F$73,"Limit reached",$I$31&gt;=$G$73,$F$69,$I$31&lt;=$H$73,$H$69,AND($I$31&gt;$H$73,$I$31&lt;$F$73),$G$69))</f>
        <v/>
      </c>
      <c r="K31" s="39" t="str">
        <f>C31&amp;D31</f>
        <v>BisonEuropean (360 – 990 kg)</v>
      </c>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row>
    <row r="32" spans="1:45" ht="15" customHeight="1" x14ac:dyDescent="0.25">
      <c r="A32" s="25"/>
      <c r="B32" s="237" t="s">
        <v>115</v>
      </c>
      <c r="C32" s="392" t="s">
        <v>13</v>
      </c>
      <c r="D32" s="393" t="s">
        <v>409</v>
      </c>
      <c r="E32" s="252" t="str">
        <f>IF(D32="","",VLOOKUP(D32,Lists!$D:$E,2,FALSE))</f>
        <v>N/A</v>
      </c>
      <c r="F32" s="398"/>
      <c r="G32" s="399"/>
      <c r="H32" s="403" t="s">
        <v>74</v>
      </c>
      <c r="I32" s="336" t="str">
        <f>IFERROR(($F32+($G32*0.4))*INDEX('Livestock assumptions'!J:J,MATCH('Conservation grazing tool'!$K32,'Livestock assumptions'!$B:$B,0))*($H32/100),"")</f>
        <v/>
      </c>
      <c r="J32" s="337" t="str" cm="1">
        <f t="array" ref="J32">IF($I$32="","",_xlfn.IFS($I$32&gt;$F$73,"Limit reached",$I$32&gt;=$G$73,$F$69,$I$32&lt;=$H$73,$H$69,AND($I$32&gt;$H$73,$I$32&lt;$F$73),$G$69))</f>
        <v/>
      </c>
      <c r="K32" s="39" t="str">
        <f>C32&amp;D32</f>
        <v>Water buffaloStandard (300 – 600 kg)</v>
      </c>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row>
    <row r="33" spans="1:45" ht="15" customHeight="1" thickBot="1" x14ac:dyDescent="0.3">
      <c r="A33" s="25"/>
      <c r="B33" s="237" t="s">
        <v>118</v>
      </c>
      <c r="C33" s="394" t="s">
        <v>16</v>
      </c>
      <c r="D33" s="395" t="s">
        <v>398</v>
      </c>
      <c r="E33" s="386" t="str">
        <f>IF(D33="","",VLOOKUP(D33,Lists!$D:$E,2,FALSE))</f>
        <v>e.g. Longhorn, North (Ruby) Devon, Welsh Black</v>
      </c>
      <c r="F33" s="400"/>
      <c r="G33" s="401"/>
      <c r="H33" s="404" t="s">
        <v>74</v>
      </c>
      <c r="I33" s="338" t="str">
        <f>IFERROR(($F33+($G33*0.4))*INDEX('Livestock assumptions'!J:J,MATCH('Conservation grazing tool'!$K33,'Livestock assumptions'!$B:$B,0))*($H33/100),"")</f>
        <v/>
      </c>
      <c r="J33" s="339" t="str" cm="1">
        <f t="array" ref="J33">IF($I$33="","",_xlfn.IFS($I$33&gt;$F$73,"Limit reached",$I$33&gt;=$G$73,$F$69,$I$33&lt;=$H$73,$H$69,AND($I$33&gt;$H$73,$I$33&lt;$F$73),$G$69))</f>
        <v/>
      </c>
      <c r="K33" s="39" t="str">
        <f>C33&amp;D33</f>
        <v>CattleMedium (500 kg - 700 kg)</v>
      </c>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row>
    <row r="34" spans="1:45" s="25" customFormat="1" ht="15.75" thickBot="1" x14ac:dyDescent="0.3">
      <c r="H34" s="240" t="s">
        <v>374</v>
      </c>
      <c r="I34" s="77" t="str">
        <f>IF(AND(I31="",I32="",I33=""),"",SUM(I31:I33))</f>
        <v/>
      </c>
      <c r="J34" s="340" t="str" cm="1">
        <f t="array" ref="J34">IF($I$34="","",_xlfn.IFS($I$34&gt;$F$73,"Limit reached",$I$34&gt;=$G$73,$F$69,$I$34&lt;=$H$73,$H$69,AND($I$34&gt;$H$73,$I$34&lt;$F$73),$G$69))</f>
        <v/>
      </c>
      <c r="K34" s="39"/>
    </row>
    <row r="35" spans="1:45" s="25" customFormat="1" x14ac:dyDescent="0.25">
      <c r="K35" s="241"/>
    </row>
    <row r="36" spans="1:45" s="25" customFormat="1" x14ac:dyDescent="0.25">
      <c r="C36" s="421" t="s">
        <v>148</v>
      </c>
    </row>
    <row r="37" spans="1:45" s="25" customFormat="1" x14ac:dyDescent="0.25">
      <c r="C37" s="421"/>
      <c r="F37" s="241"/>
    </row>
    <row r="38" spans="1:45" s="25" customFormat="1" x14ac:dyDescent="0.25">
      <c r="C38" s="421"/>
    </row>
    <row r="39" spans="1:45" s="25" customFormat="1" ht="15.75" thickBot="1" x14ac:dyDescent="0.3"/>
    <row r="40" spans="1:45" s="25" customFormat="1" ht="18.75" thickBot="1" x14ac:dyDescent="0.3">
      <c r="C40" s="37"/>
      <c r="D40" s="37"/>
      <c r="E40" s="37"/>
      <c r="F40" s="415" t="s">
        <v>376</v>
      </c>
      <c r="G40" s="416"/>
      <c r="H40" s="417"/>
      <c r="I40" s="418" t="s">
        <v>377</v>
      </c>
      <c r="J40" s="419"/>
      <c r="K40" s="420"/>
      <c r="L40" s="242"/>
      <c r="M40" s="242"/>
    </row>
    <row r="41" spans="1:45" s="25" customFormat="1" ht="43.5" customHeight="1" thickBot="1" x14ac:dyDescent="0.3">
      <c r="C41" s="232" t="s">
        <v>10</v>
      </c>
      <c r="D41" s="323" t="s">
        <v>395</v>
      </c>
      <c r="E41" s="243" t="s">
        <v>396</v>
      </c>
      <c r="F41" s="235" t="s">
        <v>276</v>
      </c>
      <c r="G41" s="321" t="s">
        <v>277</v>
      </c>
      <c r="H41" s="322" t="s">
        <v>246</v>
      </c>
      <c r="I41" s="244" t="s">
        <v>276</v>
      </c>
      <c r="J41" s="245" t="s">
        <v>277</v>
      </c>
      <c r="K41" s="246" t="s">
        <v>246</v>
      </c>
      <c r="L41" s="39" t="s">
        <v>117</v>
      </c>
      <c r="M41" s="39"/>
    </row>
    <row r="42" spans="1:45" s="25" customFormat="1" ht="15" customHeight="1" x14ac:dyDescent="0.25">
      <c r="B42" s="237" t="s">
        <v>114</v>
      </c>
      <c r="C42" s="238" t="str">
        <f t="shared" ref="C42:D44" si="0">IF(C31="Please select"," ",IF(C31=""," ",C31))</f>
        <v>Bison</v>
      </c>
      <c r="D42" s="333" t="str">
        <f>IF(D31="Please select"," ",IF(D31=""," ",D31))</f>
        <v>European (360 – 990 kg)</v>
      </c>
      <c r="E42" s="247" t="str">
        <f>E31</f>
        <v>N/A</v>
      </c>
      <c r="F42" s="324">
        <f>IFERROR('Enteric methane'!AB9+'Enteric methane'!BQ9+'Manure methane'!AA9+'Manure methane'!BG9,0)</f>
        <v>0</v>
      </c>
      <c r="G42" s="318">
        <f>IFERROR('N calculations'!AC9+'N calculations'!BL9,0)</f>
        <v>0</v>
      </c>
      <c r="H42" s="320">
        <f>IFERROR(F42+G42,0)</f>
        <v>0</v>
      </c>
      <c r="I42" s="248">
        <f>IFERROR('Enteric methane'!AC9+'Enteric methane'!BR9+'Manure methane'!AB9+'Manure methane'!BH9,0)</f>
        <v>0</v>
      </c>
      <c r="J42" s="249">
        <f>IFERROR('N calculations'!AD9+'N calculations'!BM9,0)</f>
        <v>0</v>
      </c>
      <c r="K42" s="250">
        <f>IFERROR(I42+J42,0)</f>
        <v>0</v>
      </c>
      <c r="L42" s="39" t="str">
        <f>C42&amp;" - "&amp;D42</f>
        <v>Bison - European (360 – 990 kg)</v>
      </c>
      <c r="M42" s="39"/>
      <c r="P42" s="251"/>
    </row>
    <row r="43" spans="1:45" s="25" customFormat="1" ht="15" customHeight="1" x14ac:dyDescent="0.25">
      <c r="B43" s="237" t="s">
        <v>115</v>
      </c>
      <c r="C43" s="239" t="str">
        <f t="shared" si="0"/>
        <v>Water buffalo</v>
      </c>
      <c r="D43" s="330" t="str">
        <f t="shared" si="0"/>
        <v>Standard (300 – 600 kg)</v>
      </c>
      <c r="E43" s="252" t="str">
        <f>E32</f>
        <v>N/A</v>
      </c>
      <c r="F43" s="325">
        <f>IFERROR('Enteric methane'!AB10+'Enteric methane'!BQ10+'Manure methane'!AA10+'Manure methane'!BG10,0)</f>
        <v>0</v>
      </c>
      <c r="G43" s="254">
        <f>IFERROR('N calculations'!AC10+'N calculations'!BL10,0)</f>
        <v>0</v>
      </c>
      <c r="H43" s="255">
        <f>IFERROR(F43+G43,0)</f>
        <v>0</v>
      </c>
      <c r="I43" s="256">
        <f>IFERROR('Enteric methane'!AC10+'Enteric methane'!BR10+'Manure methane'!AB10+'Manure methane'!BH10,0)</f>
        <v>0</v>
      </c>
      <c r="J43" s="257">
        <f>IFERROR('N calculations'!AD10+'N calculations'!BM10,0)</f>
        <v>0</v>
      </c>
      <c r="K43" s="258">
        <f>IFERROR(I43+J43,0)</f>
        <v>0</v>
      </c>
      <c r="L43" s="39" t="str">
        <f t="shared" ref="L43:L44" si="1">C43&amp;" - "&amp;D43</f>
        <v>Water buffalo - Standard (300 – 600 kg)</v>
      </c>
      <c r="M43" s="39"/>
      <c r="P43" s="251"/>
    </row>
    <row r="44" spans="1:45" s="25" customFormat="1" ht="15" customHeight="1" thickBot="1" x14ac:dyDescent="0.3">
      <c r="B44" s="237" t="s">
        <v>118</v>
      </c>
      <c r="C44" s="331" t="str">
        <f t="shared" si="0"/>
        <v>Cattle</v>
      </c>
      <c r="D44" s="332" t="str">
        <f t="shared" si="0"/>
        <v>Medium (500 kg - 700 kg)</v>
      </c>
      <c r="E44" s="386" t="str">
        <f>E33</f>
        <v>e.g. Longhorn, North (Ruby) Devon, Welsh Black</v>
      </c>
      <c r="F44" s="326">
        <f>IFERROR('Enteric methane'!AB11+'Enteric methane'!BQ11+'Manure methane'!AA11+'Manure methane'!BG11,0)</f>
        <v>0</v>
      </c>
      <c r="G44" s="261">
        <f>IFERROR('N calculations'!AC11+'N calculations'!BL11,0)</f>
        <v>0</v>
      </c>
      <c r="H44" s="262">
        <f>IFERROR(F44+G44,0)</f>
        <v>0</v>
      </c>
      <c r="I44" s="263">
        <f>IFERROR('Enteric methane'!AC11+'Enteric methane'!BR11+'Manure methane'!AB11+'Manure methane'!BH11,0)</f>
        <v>0</v>
      </c>
      <c r="J44" s="264">
        <f>IFERROR('N calculations'!AD11+'N calculations'!BM11,0)</f>
        <v>0</v>
      </c>
      <c r="K44" s="265">
        <f>IFERROR(I44+J44,0)</f>
        <v>0</v>
      </c>
      <c r="L44" s="39" t="str">
        <f t="shared" si="1"/>
        <v>Cattle - Medium (500 kg - 700 kg)</v>
      </c>
      <c r="M44" s="39"/>
      <c r="P44" s="251"/>
    </row>
    <row r="45" spans="1:45" s="25" customFormat="1" ht="15" customHeight="1" thickBot="1" x14ac:dyDescent="0.3">
      <c r="B45" s="237" t="s">
        <v>273</v>
      </c>
      <c r="C45" s="327" t="s">
        <v>274</v>
      </c>
      <c r="D45" s="328"/>
      <c r="E45" s="329"/>
      <c r="F45" s="77">
        <f t="shared" ref="F45:K45" si="2">IFERROR(F42+F43+F44,0)</f>
        <v>0</v>
      </c>
      <c r="G45" s="268">
        <f t="shared" si="2"/>
        <v>0</v>
      </c>
      <c r="H45" s="304">
        <f t="shared" si="2"/>
        <v>0</v>
      </c>
      <c r="I45" s="77">
        <f t="shared" si="2"/>
        <v>0</v>
      </c>
      <c r="J45" s="268">
        <f t="shared" si="2"/>
        <v>0</v>
      </c>
      <c r="K45" s="78">
        <f t="shared" si="2"/>
        <v>0</v>
      </c>
      <c r="L45" s="39"/>
      <c r="M45" s="39"/>
    </row>
    <row r="46" spans="1:45" s="25" customFormat="1" x14ac:dyDescent="0.25"/>
    <row r="47" spans="1:45" s="25" customFormat="1" x14ac:dyDescent="0.25"/>
    <row r="48" spans="1:45" s="25" customFormat="1" x14ac:dyDescent="0.25"/>
    <row r="49" spans="3:5" s="25" customFormat="1" x14ac:dyDescent="0.25"/>
    <row r="50" spans="3:5" s="25" customFormat="1" x14ac:dyDescent="0.25"/>
    <row r="51" spans="3:5" s="25" customFormat="1" x14ac:dyDescent="0.25"/>
    <row r="52" spans="3:5" s="25" customFormat="1" x14ac:dyDescent="0.25"/>
    <row r="53" spans="3:5" s="25" customFormat="1" x14ac:dyDescent="0.25"/>
    <row r="54" spans="3:5" s="25" customFormat="1" x14ac:dyDescent="0.25"/>
    <row r="55" spans="3:5" s="25" customFormat="1" x14ac:dyDescent="0.25"/>
    <row r="56" spans="3:5" s="25" customFormat="1" x14ac:dyDescent="0.25"/>
    <row r="57" spans="3:5" s="25" customFormat="1" x14ac:dyDescent="0.25"/>
    <row r="58" spans="3:5" s="25" customFormat="1" x14ac:dyDescent="0.25"/>
    <row r="59" spans="3:5" s="25" customFormat="1" x14ac:dyDescent="0.25"/>
    <row r="60" spans="3:5" s="25" customFormat="1" x14ac:dyDescent="0.25"/>
    <row r="61" spans="3:5" s="25" customFormat="1" x14ac:dyDescent="0.25"/>
    <row r="62" spans="3:5" s="25" customFormat="1" x14ac:dyDescent="0.25"/>
    <row r="63" spans="3:5" s="25" customFormat="1" x14ac:dyDescent="0.25"/>
    <row r="64" spans="3:5" s="25" customFormat="1" ht="14.85" customHeight="1" x14ac:dyDescent="0.25">
      <c r="C64" s="421" t="s">
        <v>282</v>
      </c>
      <c r="D64" s="421"/>
      <c r="E64" s="50"/>
    </row>
    <row r="65" spans="3:10" s="25" customFormat="1" ht="14.85" customHeight="1" x14ac:dyDescent="0.25">
      <c r="C65" s="421"/>
      <c r="D65" s="421"/>
      <c r="E65" s="50"/>
    </row>
    <row r="66" spans="3:10" s="25" customFormat="1" ht="14.85" customHeight="1" x14ac:dyDescent="0.25">
      <c r="C66" s="421"/>
      <c r="D66" s="421"/>
      <c r="E66" s="50"/>
    </row>
    <row r="67" spans="3:10" s="25" customFormat="1" ht="15.75" thickBot="1" x14ac:dyDescent="0.3">
      <c r="F67" s="272"/>
      <c r="G67" s="272"/>
      <c r="H67" s="272"/>
    </row>
    <row r="68" spans="3:10" s="25" customFormat="1" ht="15.75" thickBot="1" x14ac:dyDescent="0.3">
      <c r="C68" s="67"/>
      <c r="D68" s="67"/>
      <c r="E68" s="67"/>
      <c r="F68" s="415" t="s">
        <v>279</v>
      </c>
      <c r="G68" s="416"/>
      <c r="H68" s="417"/>
      <c r="I68" s="415" t="s">
        <v>142</v>
      </c>
      <c r="J68" s="417"/>
    </row>
    <row r="69" spans="3:10" s="25" customFormat="1" ht="15.75" thickBot="1" x14ac:dyDescent="0.3">
      <c r="C69" s="36" t="s">
        <v>159</v>
      </c>
      <c r="D69" s="431" t="s">
        <v>8</v>
      </c>
      <c r="E69" s="432"/>
      <c r="F69" s="346" t="s">
        <v>321</v>
      </c>
      <c r="G69" s="347" t="s">
        <v>112</v>
      </c>
      <c r="H69" s="348" t="s">
        <v>322</v>
      </c>
      <c r="I69" s="381" t="s">
        <v>139</v>
      </c>
      <c r="J69" s="382" t="s">
        <v>424</v>
      </c>
    </row>
    <row r="70" spans="3:10" s="25" customFormat="1" x14ac:dyDescent="0.25">
      <c r="C70" s="226" t="str">
        <f>C20</f>
        <v>Calcareous Grassland</v>
      </c>
      <c r="D70" s="433">
        <f>D20</f>
        <v>0</v>
      </c>
      <c r="E70" s="434"/>
      <c r="F70" s="319">
        <f>IF(OR($C$70="",$C$70="Please select"),0,INDEX('Habitat assumptions'!$I$7:$I$14,MATCH('Conservation grazing tool'!$C$70,'Habitat assumptions'!$B$7:$B$14,0))*$D$70)</f>
        <v>0</v>
      </c>
      <c r="G70" s="318">
        <f>IF(OR($C$70="",$C$70="Please select"),0,INDEX('Habitat assumptions'!$J$7:$J$14,MATCH('Conservation grazing tool'!$C$70,'Habitat assumptions'!$B$7:$B$14,0))*$D$70)</f>
        <v>0</v>
      </c>
      <c r="H70" s="345">
        <f>IF(OR($C$70="",$C$70="Please select"),0,INDEX('Habitat assumptions'!$K$7:$K$14,MATCH('Conservation grazing tool'!$C$70,'Habitat assumptions'!$B$7:$B$14,0))*$D$70)</f>
        <v>0</v>
      </c>
      <c r="I70" s="428">
        <f t="shared" ref="I70" si="3">SUM($I$31:$I$33)</f>
        <v>0</v>
      </c>
      <c r="J70" s="425" t="str" cm="1">
        <f t="array" ref="J70">_xlfn.IFS($I$70&gt;$F$73,"Limit reached",$I$70&gt;=$G$73,$F$69,$I$70&lt;=$H$73,$H$69,AND($I$70&gt;$H$73,$I$70&lt;$F$73),$G$69)</f>
        <v>High</v>
      </c>
    </row>
    <row r="71" spans="3:10" s="25" customFormat="1" x14ac:dyDescent="0.25">
      <c r="C71" s="227" t="str">
        <f>IF(C21="Please select","",C21)</f>
        <v/>
      </c>
      <c r="D71" s="435">
        <f>D21</f>
        <v>0</v>
      </c>
      <c r="E71" s="436"/>
      <c r="F71" s="253">
        <f>IF(OR($C$71="",$C$71="Please select"),0,INDEX('Habitat assumptions'!$I$7:$I$14,MATCH('Conservation grazing tool'!$C$71,'Habitat assumptions'!$B$7:$B$14,0))*$D$71)</f>
        <v>0</v>
      </c>
      <c r="G71" s="254">
        <f>IF(OR($C$71="",$C$71="Please select"),0,INDEX('Habitat assumptions'!$J$7:$J$14,MATCH('Conservation grazing tool'!$C$71,'Habitat assumptions'!$B$7:$B$14,0))*$D$71)</f>
        <v>0</v>
      </c>
      <c r="H71" s="341">
        <f>IF(OR($C$71="",$C$71="Please select"),0,INDEX('Habitat assumptions'!$K$7:$K$14,MATCH('Conservation grazing tool'!$C$71,'Habitat assumptions'!$B$7:$B$14,0))*$D$71)</f>
        <v>0</v>
      </c>
      <c r="I71" s="429"/>
      <c r="J71" s="426"/>
    </row>
    <row r="72" spans="3:10" s="25" customFormat="1" ht="15.75" thickBot="1" x14ac:dyDescent="0.3">
      <c r="C72" s="227" t="str">
        <f>IF(C22="Please select","",C22)</f>
        <v/>
      </c>
      <c r="D72" s="437">
        <f>D22</f>
        <v>0</v>
      </c>
      <c r="E72" s="438"/>
      <c r="F72" s="342">
        <f>IF(OR($C$72="",$C$72="Please select"),0,INDEX('Habitat assumptions'!$I$7:$I$14,MATCH('Conservation grazing tool'!$C$72,'Habitat assumptions'!$B$7:$B$14,0))*$D$72)</f>
        <v>0</v>
      </c>
      <c r="G72" s="343">
        <f>IF(OR($C$72="",$C$72="Please select"),0,INDEX('Habitat assumptions'!$J$7:$J$14,MATCH('Conservation grazing tool'!$C$72,'Habitat assumptions'!$B$7:$B$14,0))*$D$72)</f>
        <v>0</v>
      </c>
      <c r="H72" s="344">
        <f>IF(OR($C$72="",$C$72="Please select"),0,INDEX('Habitat assumptions'!$K$7:$K$14,MATCH('Conservation grazing tool'!$C$72,'Habitat assumptions'!$B$7:$B$14,0))*$D$72)</f>
        <v>0</v>
      </c>
      <c r="I72" s="429"/>
      <c r="J72" s="426"/>
    </row>
    <row r="73" spans="3:10" s="25" customFormat="1" ht="15.75" thickBot="1" x14ac:dyDescent="0.3">
      <c r="C73" s="228" t="str">
        <f>C23</f>
        <v>Total</v>
      </c>
      <c r="D73" s="439" t="str">
        <f>D23</f>
        <v/>
      </c>
      <c r="E73" s="440"/>
      <c r="F73" s="77">
        <f>SUM(F70:F72)</f>
        <v>0</v>
      </c>
      <c r="G73" s="268">
        <f t="shared" ref="G73:H73" si="4">SUM(G70:G72)</f>
        <v>0</v>
      </c>
      <c r="H73" s="78">
        <f t="shared" si="4"/>
        <v>0</v>
      </c>
      <c r="I73" s="430"/>
      <c r="J73" s="427"/>
    </row>
    <row r="74" spans="3:10" s="25" customFormat="1" x14ac:dyDescent="0.25"/>
    <row r="75" spans="3:10" s="25" customFormat="1" ht="72.599999999999994" customHeight="1" x14ac:dyDescent="0.25">
      <c r="F75" s="405" t="s">
        <v>375</v>
      </c>
      <c r="G75" s="406"/>
      <c r="H75" s="407"/>
    </row>
    <row r="76" spans="3:10" s="25" customFormat="1" x14ac:dyDescent="0.25">
      <c r="F76" s="408"/>
      <c r="G76" s="409"/>
      <c r="H76" s="410"/>
    </row>
    <row r="77" spans="3:10" s="25" customFormat="1" x14ac:dyDescent="0.25">
      <c r="F77" s="411"/>
      <c r="G77" s="412"/>
      <c r="H77" s="413"/>
    </row>
    <row r="78" spans="3:10" s="25" customFormat="1" x14ac:dyDescent="0.25"/>
    <row r="79" spans="3:10" s="25" customFormat="1" x14ac:dyDescent="0.25"/>
    <row r="80" spans="3:10" s="25" customFormat="1" x14ac:dyDescent="0.25"/>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25" customFormat="1" x14ac:dyDescent="0.25"/>
    <row r="98" s="25" customFormat="1" x14ac:dyDescent="0.25"/>
    <row r="99" s="25" customFormat="1" x14ac:dyDescent="0.25"/>
    <row r="100" s="25" customFormat="1" x14ac:dyDescent="0.25"/>
    <row r="101" s="25" customFormat="1" x14ac:dyDescent="0.25"/>
    <row r="102" s="25" customFormat="1" x14ac:dyDescent="0.25"/>
    <row r="103" s="25" customFormat="1" x14ac:dyDescent="0.25"/>
    <row r="104" s="25" customFormat="1" x14ac:dyDescent="0.25"/>
    <row r="105" s="25" customFormat="1" x14ac:dyDescent="0.25"/>
    <row r="106" s="25" customFormat="1" x14ac:dyDescent="0.25"/>
    <row r="107" s="25" customFormat="1" x14ac:dyDescent="0.25"/>
    <row r="108" s="25" customFormat="1" x14ac:dyDescent="0.25"/>
    <row r="109" s="25" customFormat="1" x14ac:dyDescent="0.25"/>
    <row r="110" s="25" customFormat="1" x14ac:dyDescent="0.25"/>
    <row r="111" s="25" customFormat="1" x14ac:dyDescent="0.25"/>
    <row r="112" s="25" customFormat="1" x14ac:dyDescent="0.25"/>
    <row r="113" s="25" customFormat="1" x14ac:dyDescent="0.25"/>
    <row r="114" s="25" customFormat="1" x14ac:dyDescent="0.25"/>
    <row r="115" s="25" customFormat="1" x14ac:dyDescent="0.25"/>
    <row r="116" s="25" customFormat="1" x14ac:dyDescent="0.25"/>
    <row r="117" s="25" customFormat="1" x14ac:dyDescent="0.25"/>
    <row r="118" s="25" customFormat="1" x14ac:dyDescent="0.25"/>
    <row r="119" s="25" customFormat="1" x14ac:dyDescent="0.25"/>
    <row r="120" s="25" customFormat="1" x14ac:dyDescent="0.25"/>
    <row r="121" s="25" customFormat="1" x14ac:dyDescent="0.25"/>
    <row r="122" s="25" customFormat="1" x14ac:dyDescent="0.25"/>
    <row r="123" s="25" customFormat="1" x14ac:dyDescent="0.25"/>
    <row r="124" s="25" customFormat="1" x14ac:dyDescent="0.25"/>
    <row r="125" s="25" customFormat="1" x14ac:dyDescent="0.25"/>
    <row r="126" s="25" customFormat="1" x14ac:dyDescent="0.25"/>
    <row r="127" s="25" customFormat="1" x14ac:dyDescent="0.25"/>
    <row r="128" s="25" customFormat="1" x14ac:dyDescent="0.25"/>
    <row r="129" s="25" customFormat="1" x14ac:dyDescent="0.25"/>
    <row r="130" s="25" customFormat="1" x14ac:dyDescent="0.25"/>
    <row r="131" s="25" customFormat="1" x14ac:dyDescent="0.25"/>
    <row r="132" s="25" customFormat="1" x14ac:dyDescent="0.25"/>
    <row r="133" s="25" customFormat="1" x14ac:dyDescent="0.25"/>
    <row r="134" s="25" customFormat="1" x14ac:dyDescent="0.25"/>
    <row r="135" s="25" customFormat="1" x14ac:dyDescent="0.25"/>
    <row r="136" s="25" customFormat="1" x14ac:dyDescent="0.25"/>
    <row r="137" s="25" customFormat="1" x14ac:dyDescent="0.25"/>
    <row r="138" s="25" customFormat="1" x14ac:dyDescent="0.25"/>
    <row r="139" s="25" customFormat="1" x14ac:dyDescent="0.25"/>
    <row r="140" s="25" customFormat="1" x14ac:dyDescent="0.25"/>
    <row r="141" s="25" customFormat="1" x14ac:dyDescent="0.25"/>
    <row r="142" s="25" customFormat="1" x14ac:dyDescent="0.25"/>
    <row r="143" s="25" customFormat="1" x14ac:dyDescent="0.25"/>
    <row r="144" s="25" customFormat="1" x14ac:dyDescent="0.25"/>
    <row r="145" s="25" customFormat="1" x14ac:dyDescent="0.25"/>
    <row r="146" s="25" customFormat="1" x14ac:dyDescent="0.25"/>
    <row r="147" s="25" customFormat="1" x14ac:dyDescent="0.25"/>
    <row r="148" s="25" customFormat="1" x14ac:dyDescent="0.25"/>
    <row r="149" s="25" customFormat="1" x14ac:dyDescent="0.25"/>
    <row r="150" s="25" customFormat="1" x14ac:dyDescent="0.25"/>
    <row r="151" s="25" customFormat="1" x14ac:dyDescent="0.25"/>
    <row r="152" s="25" customFormat="1" x14ac:dyDescent="0.25"/>
  </sheetData>
  <sheetProtection algorithmName="SHA-512" hashValue="sCs0WFzA6zMyWS8CnkJuJAj1/bp9j5qS7p/hyYiKZLDRh1aU8QYd/Q/FJnjyDxCdYISlEzCANzK5/CZdcOae6A==" saltValue="VmV+vGg/h6dmF7NHn8Uz3g==" spinCount="100000" sheet="1" objects="1" scenarios="1"/>
  <mergeCells count="19">
    <mergeCell ref="D71:E71"/>
    <mergeCell ref="D72:E72"/>
    <mergeCell ref="D73:E73"/>
    <mergeCell ref="F75:H77"/>
    <mergeCell ref="C4:H5"/>
    <mergeCell ref="F40:H40"/>
    <mergeCell ref="I40:K40"/>
    <mergeCell ref="C12:C14"/>
    <mergeCell ref="C25:C27"/>
    <mergeCell ref="C36:C38"/>
    <mergeCell ref="F29:G29"/>
    <mergeCell ref="D28:E28"/>
    <mergeCell ref="J70:J73"/>
    <mergeCell ref="I70:I73"/>
    <mergeCell ref="C64:D66"/>
    <mergeCell ref="F68:H68"/>
    <mergeCell ref="I68:J68"/>
    <mergeCell ref="D69:E69"/>
    <mergeCell ref="D70:E70"/>
  </mergeCells>
  <phoneticPr fontId="5" type="noConversion"/>
  <conditionalFormatting sqref="J31:J34">
    <cfRule type="containsText" dxfId="19" priority="1" operator="containsText" text="Low">
      <formula>NOT(ISERROR(SEARCH("Low",J31)))</formula>
    </cfRule>
    <cfRule type="containsText" dxfId="18" priority="2" operator="containsText" text="Medium">
      <formula>NOT(ISERROR(SEARCH("Medium",J31)))</formula>
    </cfRule>
    <cfRule type="containsText" dxfId="17" priority="3" operator="containsText" text="High">
      <formula>NOT(ISERROR(SEARCH("High",J31)))</formula>
    </cfRule>
    <cfRule type="containsText" dxfId="16" priority="4" operator="containsText" text="Limit reached">
      <formula>NOT(ISERROR(SEARCH("Limit reached",J31)))</formula>
    </cfRule>
    <cfRule type="cellIs" dxfId="15" priority="5" operator="lessThan">
      <formula>0</formula>
    </cfRule>
  </conditionalFormatting>
  <conditionalFormatting sqref="J70">
    <cfRule type="containsText" dxfId="14" priority="6" operator="containsText" text="Low">
      <formula>NOT(ISERROR(SEARCH("Low",J70)))</formula>
    </cfRule>
    <cfRule type="containsText" dxfId="13" priority="7" operator="containsText" text="Medium">
      <formula>NOT(ISERROR(SEARCH("Medium",J70)))</formula>
    </cfRule>
    <cfRule type="containsText" dxfId="12" priority="8" operator="containsText" text="High">
      <formula>NOT(ISERROR(SEARCH("High",J70)))</formula>
    </cfRule>
    <cfRule type="containsText" dxfId="11" priority="9" operator="containsText" text="Limit reached">
      <formula>NOT(ISERROR(SEARCH("Limit reached",J70)))</formula>
    </cfRule>
    <cfRule type="cellIs" dxfId="10" priority="10" operator="lessThan">
      <formula>0</formula>
    </cfRule>
  </conditionalFormatting>
  <dataValidations count="2">
    <dataValidation type="list" allowBlank="1" showInputMessage="1" showErrorMessage="1" sqref="H31:H33" xr:uid="{D86FCCF4-A14E-4DFA-A299-71C17B91D10F}">
      <formula1>"Please select,100,95,90,85,80,75,70,65,60,55,50,45,40,35,30,25,20,15,10,5,0"</formula1>
    </dataValidation>
    <dataValidation type="list" allowBlank="1" showInputMessage="1" showErrorMessage="1" sqref="D31:D33" xr:uid="{9625591C-5478-42B7-9538-88F9F9693E80}">
      <formula1>_xlfn.IFS($C31="Sheep",Sheep,$C31="Cattle",Cattle,$C31="Equine",Equine,$C31="Bison",Bison,$C31="Water Buffalo",WaterBuffalo)</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52179C1-F41B-41FE-B8D1-1FC1D2647E8E}">
          <x14:formula1>
            <xm:f>Lists!$A$2:$A$7</xm:f>
          </x14:formula1>
          <xm:sqref>C31:C33</xm:sqref>
        </x14:dataValidation>
        <x14:dataValidation type="list" allowBlank="1" showInputMessage="1" showErrorMessage="1" xr:uid="{88957FD0-79DC-4EF1-8CC4-383280622B4B}">
          <x14:formula1>
            <xm:f>Lists!$G$2:$G$10</xm:f>
          </x14:formula1>
          <xm:sqref>C20:C22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B4304-DB27-44A7-B761-35AA8F059747}">
  <sheetPr>
    <tabColor theme="6"/>
  </sheetPr>
  <dimension ref="A1:BD175"/>
  <sheetViews>
    <sheetView workbookViewId="0"/>
  </sheetViews>
  <sheetFormatPr defaultColWidth="8.85546875" defaultRowHeight="15" x14ac:dyDescent="0.25"/>
  <cols>
    <col min="1" max="2" width="8.85546875" style="29"/>
    <col min="3" max="3" width="24.85546875" style="29" customWidth="1"/>
    <col min="4" max="4" width="12.42578125" style="29" customWidth="1"/>
    <col min="5" max="12" width="20.5703125" style="29" customWidth="1"/>
    <col min="13" max="16" width="18.5703125" style="29" customWidth="1"/>
    <col min="17" max="17" width="18.85546875" style="29" bestFit="1" customWidth="1"/>
    <col min="18" max="18" width="24" style="29" customWidth="1"/>
    <col min="19" max="19" width="20.85546875" style="75" bestFit="1" customWidth="1"/>
    <col min="20" max="20" width="23.5703125" style="75" bestFit="1" customWidth="1"/>
    <col min="21" max="21" width="18.85546875" style="75" bestFit="1" customWidth="1"/>
    <col min="22" max="22" width="18.140625" style="75" bestFit="1" customWidth="1"/>
    <col min="23" max="23" width="21.85546875" style="75" bestFit="1" customWidth="1"/>
    <col min="24" max="24" width="16.140625" style="75" bestFit="1" customWidth="1"/>
    <col min="25" max="25" width="12.85546875" style="29" bestFit="1" customWidth="1"/>
    <col min="26" max="16384" width="8.85546875" style="29"/>
  </cols>
  <sheetData>
    <row r="1" spans="3:27" s="19" customFormat="1" x14ac:dyDescent="0.25">
      <c r="S1" s="49"/>
      <c r="T1" s="49"/>
      <c r="U1" s="49"/>
      <c r="V1" s="49"/>
      <c r="W1" s="49"/>
      <c r="X1" s="49"/>
    </row>
    <row r="2" spans="3:27" s="19" customFormat="1" ht="26.25" x14ac:dyDescent="0.4">
      <c r="C2" s="20" t="s">
        <v>315</v>
      </c>
      <c r="S2" s="49"/>
      <c r="T2" s="49"/>
      <c r="U2" s="49"/>
      <c r="V2" s="49"/>
      <c r="W2" s="49"/>
      <c r="X2" s="49"/>
    </row>
    <row r="3" spans="3:27" s="19" customFormat="1" x14ac:dyDescent="0.25">
      <c r="S3" s="49"/>
      <c r="T3" s="49"/>
      <c r="U3" s="49"/>
      <c r="V3" s="49"/>
      <c r="W3" s="49"/>
      <c r="X3" s="49"/>
    </row>
    <row r="4" spans="3:27" s="19" customFormat="1" ht="14.85" customHeight="1" x14ac:dyDescent="0.25">
      <c r="C4" s="414" t="s">
        <v>384</v>
      </c>
      <c r="D4" s="414"/>
      <c r="E4" s="414"/>
      <c r="F4" s="414"/>
      <c r="G4" s="414"/>
      <c r="H4" s="414"/>
      <c r="I4" s="414"/>
      <c r="J4" s="414"/>
      <c r="K4" s="414"/>
      <c r="L4" s="414"/>
      <c r="M4" s="21"/>
      <c r="N4" s="21"/>
      <c r="S4" s="49"/>
      <c r="T4" s="49"/>
      <c r="U4" s="49"/>
      <c r="V4" s="49"/>
      <c r="W4" s="49"/>
      <c r="X4" s="49"/>
    </row>
    <row r="5" spans="3:27" s="19" customFormat="1" x14ac:dyDescent="0.25">
      <c r="C5" s="414"/>
      <c r="D5" s="414"/>
      <c r="E5" s="414"/>
      <c r="F5" s="414"/>
      <c r="G5" s="414"/>
      <c r="H5" s="414"/>
      <c r="I5" s="414"/>
      <c r="J5" s="414"/>
      <c r="K5" s="414"/>
      <c r="L5" s="414"/>
      <c r="M5" s="21"/>
      <c r="N5" s="21"/>
      <c r="S5" s="49"/>
      <c r="T5" s="49"/>
      <c r="U5" s="49"/>
      <c r="V5" s="49"/>
      <c r="W5" s="49"/>
      <c r="X5" s="49"/>
    </row>
    <row r="6" spans="3:27" s="19" customFormat="1" x14ac:dyDescent="0.25">
      <c r="C6" s="21"/>
      <c r="D6" s="21"/>
      <c r="E6" s="21"/>
      <c r="F6" s="21"/>
      <c r="G6" s="21"/>
      <c r="H6" s="21"/>
      <c r="S6" s="49"/>
      <c r="T6" s="49"/>
      <c r="U6" s="49"/>
      <c r="V6" s="49"/>
      <c r="W6" s="49"/>
      <c r="X6" s="49"/>
    </row>
    <row r="7" spans="3:27" s="19" customFormat="1" x14ac:dyDescent="0.25">
      <c r="C7" s="22" t="s">
        <v>316</v>
      </c>
      <c r="D7" s="21"/>
      <c r="E7" s="21"/>
      <c r="F7" s="21"/>
      <c r="G7" s="21"/>
      <c r="H7" s="21"/>
      <c r="S7" s="49"/>
      <c r="T7" s="49"/>
      <c r="U7" s="49"/>
      <c r="V7" s="49"/>
      <c r="W7" s="49"/>
      <c r="X7" s="49"/>
    </row>
    <row r="8" spans="3:27" s="19" customFormat="1" x14ac:dyDescent="0.25">
      <c r="C8" s="23"/>
      <c r="D8" s="21"/>
      <c r="E8" s="21"/>
      <c r="F8" s="21"/>
      <c r="G8" s="21"/>
      <c r="H8" s="21"/>
      <c r="S8" s="49"/>
      <c r="T8" s="49"/>
      <c r="U8" s="49"/>
      <c r="V8" s="49"/>
      <c r="W8" s="49"/>
      <c r="X8" s="49"/>
    </row>
    <row r="9" spans="3:27" s="19" customFormat="1" x14ac:dyDescent="0.25">
      <c r="C9" s="24"/>
      <c r="S9" s="49"/>
      <c r="T9" s="49"/>
      <c r="U9" s="49"/>
      <c r="V9" s="49"/>
      <c r="W9" s="49"/>
      <c r="X9" s="49"/>
    </row>
    <row r="10" spans="3:27" s="19" customFormat="1" x14ac:dyDescent="0.25">
      <c r="P10" s="283"/>
      <c r="Q10" s="283"/>
      <c r="R10" s="283"/>
      <c r="S10" s="283"/>
      <c r="T10" s="283"/>
      <c r="U10" s="283"/>
      <c r="V10" s="283"/>
      <c r="W10" s="49"/>
      <c r="X10" s="49"/>
    </row>
    <row r="11" spans="3:27" s="25" customFormat="1" x14ac:dyDescent="0.25">
      <c r="P11" s="284"/>
      <c r="Q11" s="284"/>
      <c r="R11" s="284"/>
      <c r="S11" s="284"/>
      <c r="T11" s="284"/>
      <c r="U11" s="284"/>
      <c r="V11" s="284"/>
      <c r="W11" s="40"/>
      <c r="X11" s="40"/>
    </row>
    <row r="12" spans="3:27" s="25" customFormat="1" ht="14.85" customHeight="1" x14ac:dyDescent="0.25">
      <c r="C12" s="421" t="s">
        <v>364</v>
      </c>
      <c r="D12" s="421"/>
      <c r="E12" s="421"/>
      <c r="F12" s="421"/>
      <c r="P12" s="284"/>
      <c r="Q12" s="284"/>
      <c r="R12" s="284"/>
      <c r="S12" s="284"/>
      <c r="T12" s="284"/>
      <c r="U12" s="284"/>
      <c r="V12" s="284"/>
      <c r="W12" s="39"/>
      <c r="X12" s="39"/>
    </row>
    <row r="13" spans="3:27" s="25" customFormat="1" ht="14.85" customHeight="1" x14ac:dyDescent="0.25">
      <c r="C13" s="421"/>
      <c r="D13" s="421"/>
      <c r="E13" s="421"/>
      <c r="F13" s="421"/>
      <c r="P13" s="284"/>
      <c r="Q13" s="284"/>
      <c r="R13" s="284"/>
      <c r="S13" s="284"/>
      <c r="T13" s="284"/>
      <c r="U13" s="284"/>
      <c r="V13" s="284"/>
      <c r="W13" s="39"/>
      <c r="X13" s="39"/>
    </row>
    <row r="14" spans="3:27" s="25" customFormat="1" ht="15" customHeight="1" thickBot="1" x14ac:dyDescent="0.3">
      <c r="C14" s="421"/>
      <c r="D14" s="421"/>
      <c r="E14" s="421"/>
      <c r="F14" s="421"/>
      <c r="S14" s="284"/>
      <c r="T14" s="284"/>
      <c r="U14" s="284"/>
      <c r="V14" s="284"/>
      <c r="W14" s="284"/>
      <c r="X14" s="284"/>
      <c r="Y14" s="284"/>
      <c r="Z14" s="284"/>
      <c r="AA14" s="39"/>
    </row>
    <row r="15" spans="3:27" s="25" customFormat="1" ht="15" customHeight="1" x14ac:dyDescent="0.25">
      <c r="C15" s="50"/>
      <c r="D15" s="37"/>
      <c r="E15" s="422" t="s">
        <v>416</v>
      </c>
      <c r="F15" s="423"/>
      <c r="G15" s="422" t="s">
        <v>417</v>
      </c>
      <c r="H15" s="443"/>
      <c r="I15" s="422" t="s">
        <v>418</v>
      </c>
      <c r="J15" s="417"/>
      <c r="K15" s="422" t="s">
        <v>419</v>
      </c>
      <c r="L15" s="417"/>
      <c r="N15" s="39" t="s">
        <v>366</v>
      </c>
      <c r="O15" s="39"/>
      <c r="P15" s="39"/>
      <c r="Q15" s="39"/>
      <c r="R15" s="284"/>
      <c r="S15" s="285" t="s">
        <v>319</v>
      </c>
      <c r="T15" s="284" t="s">
        <v>367</v>
      </c>
      <c r="U15" s="284" t="s">
        <v>369</v>
      </c>
      <c r="V15" s="284" t="s">
        <v>368</v>
      </c>
      <c r="W15" s="284"/>
      <c r="X15" s="284"/>
      <c r="Y15" s="284"/>
    </row>
    <row r="16" spans="3:27" s="25" customFormat="1" ht="15" customHeight="1" thickBot="1" x14ac:dyDescent="0.3">
      <c r="C16" s="50"/>
      <c r="D16" s="37"/>
      <c r="E16" s="441"/>
      <c r="F16" s="442"/>
      <c r="G16" s="441"/>
      <c r="H16" s="444"/>
      <c r="I16" s="447"/>
      <c r="J16" s="448"/>
      <c r="K16" s="447"/>
      <c r="L16" s="448"/>
      <c r="N16" s="39"/>
      <c r="O16" s="39"/>
      <c r="P16" s="39"/>
      <c r="Q16" s="39"/>
      <c r="R16" s="284"/>
      <c r="S16" s="285"/>
      <c r="T16" s="284"/>
      <c r="U16" s="284"/>
      <c r="V16" s="284"/>
      <c r="W16" s="284"/>
      <c r="X16" s="284"/>
      <c r="Y16" s="284"/>
    </row>
    <row r="17" spans="3:25" s="25" customFormat="1" ht="15.75" thickBot="1" x14ac:dyDescent="0.3">
      <c r="C17" s="349" t="s">
        <v>159</v>
      </c>
      <c r="D17" s="139" t="s">
        <v>288</v>
      </c>
      <c r="E17" s="445" t="s">
        <v>370</v>
      </c>
      <c r="F17" s="446"/>
      <c r="G17" s="445" t="s">
        <v>371</v>
      </c>
      <c r="H17" s="446"/>
      <c r="I17" s="445" t="s">
        <v>370</v>
      </c>
      <c r="J17" s="446"/>
      <c r="K17" s="445" t="s">
        <v>371</v>
      </c>
      <c r="L17" s="446"/>
      <c r="N17" s="39"/>
      <c r="O17" s="39"/>
      <c r="P17" s="39"/>
      <c r="Q17" s="39"/>
      <c r="R17" s="284" t="s">
        <v>420</v>
      </c>
      <c r="S17" s="285">
        <f>$I$50</f>
        <v>0</v>
      </c>
      <c r="T17" s="284">
        <f>E22</f>
        <v>0</v>
      </c>
      <c r="U17" s="284">
        <f>G22</f>
        <v>0</v>
      </c>
      <c r="V17" s="284">
        <f>E58</f>
        <v>0</v>
      </c>
      <c r="W17" s="284"/>
      <c r="X17" s="284"/>
      <c r="Y17" s="284"/>
    </row>
    <row r="18" spans="3:25" s="25" customFormat="1" ht="15.75" thickBot="1" x14ac:dyDescent="0.3">
      <c r="C18" s="198"/>
      <c r="D18" s="293" t="s">
        <v>312</v>
      </c>
      <c r="E18" s="233" t="s">
        <v>420</v>
      </c>
      <c r="F18" s="234" t="s">
        <v>421</v>
      </c>
      <c r="G18" s="233" t="s">
        <v>420</v>
      </c>
      <c r="H18" s="234" t="s">
        <v>421</v>
      </c>
      <c r="I18" s="233" t="s">
        <v>420</v>
      </c>
      <c r="J18" s="234" t="s">
        <v>421</v>
      </c>
      <c r="K18" s="233" t="s">
        <v>420</v>
      </c>
      <c r="L18" s="234" t="s">
        <v>421</v>
      </c>
      <c r="N18" s="39"/>
      <c r="O18" s="39"/>
      <c r="P18" s="39"/>
      <c r="Q18" s="39"/>
      <c r="R18" s="284" t="s">
        <v>421</v>
      </c>
      <c r="S18" s="285">
        <f>$I$50</f>
        <v>0</v>
      </c>
      <c r="T18" s="284">
        <f>F22</f>
        <v>0</v>
      </c>
      <c r="U18" s="284">
        <f>H22</f>
        <v>0</v>
      </c>
      <c r="V18" s="284">
        <f>H58</f>
        <v>0</v>
      </c>
      <c r="W18" s="284"/>
      <c r="X18" s="284"/>
      <c r="Y18" s="284"/>
    </row>
    <row r="19" spans="3:25" s="25" customFormat="1" x14ac:dyDescent="0.25">
      <c r="C19" s="52" t="str">
        <f>IF('Conservation grazing tool'!C20="Please select"," ",'Conservation grazing tool'!C20)</f>
        <v>Calcareous Grassland</v>
      </c>
      <c r="D19" s="364">
        <f>IF(C88= " ", " ",'Conservation grazing tool'!D20)</f>
        <v>0</v>
      </c>
      <c r="E19" s="355">
        <f>IF($C$88= " ", " ",IF('Habitat carbon storage calcs'!K8&gt;0,'Habitat carbon storage calcs'!K8,0))</f>
        <v>0</v>
      </c>
      <c r="F19" s="356">
        <f>IF($C$88= " ", " ",IF('Habitat carbon storage calcs'!J8&gt;0,'Habitat carbon storage calcs'!J8,0))</f>
        <v>0</v>
      </c>
      <c r="G19" s="355">
        <f>IF($C$88= " ", " ",IF('Habitat carbon storage calcs'!K8&lt;0,'Habitat carbon storage calcs'!K8,0))</f>
        <v>0</v>
      </c>
      <c r="H19" s="356">
        <f>IF($C$88= " ", " ",IF('Habitat carbon storage calcs'!J8&lt;0,'Habitat carbon storage calcs'!J8,0))</f>
        <v>0</v>
      </c>
      <c r="I19" s="357">
        <f>IF($C$88= " ", " ",IF('Habitat carbon storage calcs'!I8&gt;0,'Habitat carbon storage calcs'!I8,0))</f>
        <v>0</v>
      </c>
      <c r="J19" s="358">
        <f>IF($C$88= " ", " ",IF('Habitat carbon storage calcs'!H8&gt;0,'Habitat carbon storage calcs'!H8,0))</f>
        <v>0.04</v>
      </c>
      <c r="K19" s="357">
        <f>IF($C$88= " ", " ",IF('Habitat carbon storage calcs'!I8&lt;0,'Habitat carbon storage calcs'!I8,0))</f>
        <v>0</v>
      </c>
      <c r="L19" s="358">
        <f>IF($C$88= " ", " ",IF('Habitat carbon storage calcs'!H8&lt;0,'Habitat carbon storage calcs'!H8,0))</f>
        <v>0</v>
      </c>
      <c r="N19" s="39"/>
      <c r="O19" s="39"/>
      <c r="P19" s="39"/>
      <c r="Q19" s="284"/>
      <c r="R19" s="284"/>
      <c r="S19" s="284"/>
      <c r="T19" s="284"/>
      <c r="U19" s="284"/>
      <c r="V19" s="284"/>
      <c r="Y19" s="284"/>
    </row>
    <row r="20" spans="3:25" s="25" customFormat="1" x14ac:dyDescent="0.25">
      <c r="C20" s="54" t="str">
        <f>IF('Conservation grazing tool'!C21="Please select"," ",'Conservation grazing tool'!C21)</f>
        <v xml:space="preserve"> </v>
      </c>
      <c r="D20" s="363" t="str">
        <f>IF(C89= " ", " ",'Conservation grazing tool'!D21)</f>
        <v xml:space="preserve"> </v>
      </c>
      <c r="E20" s="352" t="str">
        <f>IF($C$89= " ", " ",IF('Habitat carbon storage calcs'!K9&gt;0,'Habitat carbon storage calcs'!K9,0))</f>
        <v xml:space="preserve"> </v>
      </c>
      <c r="F20" s="353" t="str">
        <f>IF($C$89= " ", " ",IF('Habitat carbon storage calcs'!J9&gt;0,'Habitat carbon storage calcs'!J9,0))</f>
        <v xml:space="preserve"> </v>
      </c>
      <c r="G20" s="352" t="str">
        <f>IF($C$89= " ", " ",IF('Habitat carbon storage calcs'!K9&lt;0,'Habitat carbon storage calcs'!K9,0))</f>
        <v xml:space="preserve"> </v>
      </c>
      <c r="H20" s="353" t="str">
        <f>IF($C$89= " ", " ",IF('Habitat carbon storage calcs'!J9&lt;0,'Habitat carbon storage calcs'!J9,0))</f>
        <v xml:space="preserve"> </v>
      </c>
      <c r="I20" s="354" t="str">
        <f>IF($C$89= " ", " ",IF('Habitat carbon storage calcs'!I9&gt;0,'Habitat carbon storage calcs'!I9,0))</f>
        <v xml:space="preserve"> </v>
      </c>
      <c r="J20" s="351" t="str">
        <f>IF($C$89= " ", " ",IF('Habitat carbon storage calcs'!H9&gt;0,'Habitat carbon storage calcs'!H9,0))</f>
        <v xml:space="preserve"> </v>
      </c>
      <c r="K20" s="354" t="str">
        <f>IF($C$89= " ", " ",IF('Habitat carbon storage calcs'!I9&lt;0,'Habitat carbon storage calcs'!I9,0))</f>
        <v xml:space="preserve"> </v>
      </c>
      <c r="L20" s="351" t="str">
        <f>IF($C$89= " ", " ",IF('Habitat carbon storage calcs'!H9&lt;0,'Habitat carbon storage calcs'!H9,0))</f>
        <v xml:space="preserve"> </v>
      </c>
      <c r="N20" s="39"/>
      <c r="O20" s="39"/>
      <c r="P20" s="284"/>
      <c r="Q20" s="284"/>
      <c r="R20" s="284"/>
      <c r="S20" s="284"/>
      <c r="T20" s="284"/>
      <c r="U20" s="284"/>
      <c r="V20" s="284"/>
    </row>
    <row r="21" spans="3:25" s="25" customFormat="1" ht="15.75" thickBot="1" x14ac:dyDescent="0.3">
      <c r="C21" s="56" t="str">
        <f>IF('Conservation grazing tool'!C22="Please select"," ",'Conservation grazing tool'!C22)</f>
        <v xml:space="preserve"> </v>
      </c>
      <c r="D21" s="365" t="str">
        <f>IF(C90= " ", " ",'Conservation grazing tool'!D22)</f>
        <v xml:space="preserve"> </v>
      </c>
      <c r="E21" s="359" t="str">
        <f>IF($C$90= " ", " ",IF('Habitat carbon storage calcs'!K10&gt;0,'Habitat carbon storage calcs'!K10,0))</f>
        <v xml:space="preserve"> </v>
      </c>
      <c r="F21" s="360" t="str">
        <f>IF($C$90= " ", " ",IF('Habitat carbon storage calcs'!J10&gt;0,'Habitat carbon storage calcs'!J10,0))</f>
        <v xml:space="preserve"> </v>
      </c>
      <c r="G21" s="359" t="str">
        <f>IF($C$90= " ", " ",IF('Habitat carbon storage calcs'!K10&lt;0,'Habitat carbon storage calcs'!K10,0))</f>
        <v xml:space="preserve"> </v>
      </c>
      <c r="H21" s="360" t="str">
        <f>IF($C$90= " ", " ",IF('Habitat carbon storage calcs'!J10&lt;0,'Habitat carbon storage calcs'!J10,0))</f>
        <v xml:space="preserve"> </v>
      </c>
      <c r="I21" s="361" t="str">
        <f>IF($C$90= " ", " ",IF('Habitat carbon storage calcs'!I10&gt;0,'Habitat carbon storage calcs'!I10,0))</f>
        <v xml:space="preserve"> </v>
      </c>
      <c r="J21" s="362" t="str">
        <f>IF($C$90= " ", " ",IF('Habitat carbon storage calcs'!H10&gt;0,'Habitat carbon storage calcs'!H10,0))</f>
        <v xml:space="preserve"> </v>
      </c>
      <c r="K21" s="361" t="str">
        <f>IF($C$90= " ", " ",IF('Habitat carbon storage calcs'!I10&lt;0,'Habitat carbon storage calcs'!I10,0))</f>
        <v xml:space="preserve"> </v>
      </c>
      <c r="L21" s="362" t="str">
        <f>IF($C$90= " ", " ",IF('Habitat carbon storage calcs'!H10&lt;0,'Habitat carbon storage calcs'!H10,0))</f>
        <v xml:space="preserve"> </v>
      </c>
      <c r="N21" s="39"/>
      <c r="O21" s="39"/>
      <c r="P21" s="284"/>
      <c r="Q21" s="284"/>
      <c r="R21" s="284"/>
      <c r="S21" s="284"/>
      <c r="T21" s="284"/>
      <c r="U21" s="284"/>
      <c r="V21" s="284"/>
    </row>
    <row r="22" spans="3:25" s="25" customFormat="1" ht="15.75" thickBot="1" x14ac:dyDescent="0.3">
      <c r="C22" s="58" t="str">
        <f>IF('Conservation grazing tool'!C23="Please select"," ",'Conservation grazing tool'!C23)</f>
        <v>Total</v>
      </c>
      <c r="D22" s="28" t="str">
        <f>IF(C91= " ", " ",'Conservation grazing tool'!D23)</f>
        <v/>
      </c>
      <c r="E22" s="290">
        <f t="shared" ref="E22:G22" si="0">SUM(E19:E21)</f>
        <v>0</v>
      </c>
      <c r="F22" s="291">
        <f t="shared" si="0"/>
        <v>0</v>
      </c>
      <c r="G22" s="290">
        <f t="shared" si="0"/>
        <v>0</v>
      </c>
      <c r="H22" s="291">
        <f>SUM(H19:H21)</f>
        <v>0</v>
      </c>
      <c r="I22" s="80">
        <f t="shared" ref="I22:L22" si="1">SUM(I19:I21)</f>
        <v>0</v>
      </c>
      <c r="J22" s="271">
        <f t="shared" si="1"/>
        <v>0.04</v>
      </c>
      <c r="K22" s="80">
        <f t="shared" si="1"/>
        <v>0</v>
      </c>
      <c r="L22" s="271">
        <f t="shared" si="1"/>
        <v>0</v>
      </c>
      <c r="N22" s="39"/>
      <c r="O22" s="39"/>
      <c r="P22" s="284"/>
      <c r="Q22" s="284"/>
      <c r="R22" s="284"/>
      <c r="S22" s="285" t="s">
        <v>319</v>
      </c>
      <c r="T22" s="284" t="s">
        <v>367</v>
      </c>
      <c r="U22" s="284" t="s">
        <v>369</v>
      </c>
      <c r="V22" s="284" t="s">
        <v>368</v>
      </c>
      <c r="W22" s="284"/>
      <c r="X22" s="284"/>
    </row>
    <row r="23" spans="3:25" s="25" customFormat="1" ht="14.1" customHeight="1" x14ac:dyDescent="0.25">
      <c r="C23" s="50"/>
      <c r="D23" s="59"/>
      <c r="E23" s="60"/>
      <c r="H23" s="61"/>
      <c r="I23" s="350"/>
      <c r="L23" s="61"/>
      <c r="O23" s="39" t="s">
        <v>366</v>
      </c>
      <c r="P23" s="284"/>
      <c r="Q23" s="284"/>
      <c r="R23" s="284" t="str">
        <f>C58</f>
        <v>Total</v>
      </c>
      <c r="S23" s="284" t="s">
        <v>420</v>
      </c>
      <c r="T23" s="285">
        <f>$O$50</f>
        <v>0</v>
      </c>
      <c r="U23" s="284">
        <f>I22</f>
        <v>0</v>
      </c>
      <c r="V23" s="284">
        <f>K22</f>
        <v>0</v>
      </c>
      <c r="W23" s="39">
        <f>K58</f>
        <v>0</v>
      </c>
    </row>
    <row r="24" spans="3:25" s="25" customFormat="1" ht="14.1" customHeight="1" x14ac:dyDescent="0.25">
      <c r="C24" s="50"/>
      <c r="E24" s="60"/>
      <c r="H24" s="61"/>
      <c r="I24" s="60"/>
      <c r="L24" s="61"/>
      <c r="P24" s="284"/>
      <c r="Q24" s="284"/>
      <c r="R24" s="284"/>
      <c r="S24" s="284" t="s">
        <v>421</v>
      </c>
      <c r="T24" s="285">
        <f>$O$50</f>
        <v>0</v>
      </c>
      <c r="U24" s="284">
        <f>J22</f>
        <v>0.04</v>
      </c>
      <c r="V24" s="284">
        <f>L22</f>
        <v>0</v>
      </c>
      <c r="W24" s="39">
        <f>M58</f>
        <v>0</v>
      </c>
    </row>
    <row r="25" spans="3:25" s="25" customFormat="1" ht="14.1" customHeight="1" x14ac:dyDescent="0.25">
      <c r="C25" s="50"/>
      <c r="E25" s="60"/>
      <c r="H25" s="61"/>
      <c r="I25" s="60"/>
      <c r="L25" s="61"/>
      <c r="P25" s="284"/>
      <c r="Q25" s="284"/>
      <c r="R25" s="284"/>
      <c r="S25" s="284"/>
      <c r="T25" s="284"/>
      <c r="U25" s="284"/>
      <c r="V25" s="284"/>
      <c r="W25" s="39">
        <f>N58</f>
        <v>0.04</v>
      </c>
    </row>
    <row r="26" spans="3:25" s="25" customFormat="1" ht="14.1" customHeight="1" x14ac:dyDescent="0.25">
      <c r="C26" s="50"/>
      <c r="E26" s="60"/>
      <c r="H26" s="61"/>
      <c r="I26" s="60"/>
      <c r="L26" s="61"/>
      <c r="P26" s="284"/>
      <c r="Q26" s="284"/>
      <c r="R26" s="284"/>
      <c r="S26" s="284"/>
      <c r="T26" s="284"/>
      <c r="U26" s="284"/>
      <c r="V26" s="284"/>
      <c r="W26" s="39"/>
    </row>
    <row r="27" spans="3:25" s="25" customFormat="1" ht="14.1" customHeight="1" x14ac:dyDescent="0.25">
      <c r="C27" s="50"/>
      <c r="E27" s="60"/>
      <c r="H27" s="61"/>
      <c r="I27" s="60"/>
      <c r="L27" s="61"/>
      <c r="P27" s="284"/>
      <c r="Q27" s="284"/>
      <c r="R27" s="284"/>
      <c r="S27" s="284"/>
      <c r="T27" s="284"/>
      <c r="U27" s="284"/>
      <c r="V27" s="284"/>
      <c r="W27" s="39"/>
    </row>
    <row r="28" spans="3:25" s="25" customFormat="1" ht="14.1" customHeight="1" x14ac:dyDescent="0.25">
      <c r="C28" s="50"/>
      <c r="E28" s="60"/>
      <c r="H28" s="61"/>
      <c r="I28" s="60"/>
      <c r="L28" s="61"/>
      <c r="P28" s="284"/>
      <c r="Q28" s="284"/>
      <c r="R28" s="284"/>
      <c r="S28" s="284"/>
      <c r="T28" s="284"/>
      <c r="U28" s="284"/>
      <c r="V28" s="284"/>
      <c r="W28" s="284"/>
      <c r="X28" s="39"/>
    </row>
    <row r="29" spans="3:25" s="25" customFormat="1" ht="14.1" customHeight="1" x14ac:dyDescent="0.25">
      <c r="C29" s="50"/>
      <c r="E29" s="60"/>
      <c r="H29" s="61"/>
      <c r="I29" s="60"/>
      <c r="L29" s="61"/>
      <c r="P29" s="284"/>
      <c r="Q29" s="284"/>
      <c r="R29" s="284"/>
      <c r="S29" s="284"/>
      <c r="T29" s="284"/>
      <c r="U29" s="284"/>
      <c r="V29" s="284"/>
      <c r="W29" s="284"/>
      <c r="X29" s="40"/>
    </row>
    <row r="30" spans="3:25" s="25" customFormat="1" ht="14.1" customHeight="1" x14ac:dyDescent="0.25">
      <c r="C30" s="50"/>
      <c r="E30" s="60"/>
      <c r="H30" s="61"/>
      <c r="I30" s="60"/>
      <c r="L30" s="61"/>
      <c r="P30" s="284"/>
      <c r="Q30" s="284"/>
      <c r="R30" s="284"/>
      <c r="S30" s="286"/>
      <c r="T30" s="286"/>
      <c r="U30" s="286"/>
      <c r="V30" s="286"/>
      <c r="W30" s="284"/>
      <c r="X30" s="40"/>
    </row>
    <row r="31" spans="3:25" s="25" customFormat="1" ht="14.1" customHeight="1" x14ac:dyDescent="0.25">
      <c r="C31" s="50"/>
      <c r="E31" s="60"/>
      <c r="H31" s="61"/>
      <c r="I31" s="60"/>
      <c r="L31" s="61"/>
      <c r="P31" s="284"/>
      <c r="Q31" s="284"/>
      <c r="R31" s="284"/>
      <c r="S31" s="284"/>
      <c r="T31" s="284"/>
      <c r="U31" s="284"/>
      <c r="V31" s="284"/>
      <c r="W31" s="286"/>
      <c r="X31" s="62"/>
    </row>
    <row r="32" spans="3:25" s="25" customFormat="1" ht="14.1" customHeight="1" x14ac:dyDescent="0.25">
      <c r="C32" s="50"/>
      <c r="E32" s="60"/>
      <c r="H32" s="61"/>
      <c r="I32" s="60"/>
      <c r="L32" s="61"/>
      <c r="P32" s="284"/>
      <c r="Q32" s="284"/>
      <c r="R32" s="284"/>
      <c r="S32" s="284"/>
      <c r="T32" s="284"/>
      <c r="U32" s="284"/>
      <c r="V32" s="284"/>
      <c r="W32" s="40"/>
      <c r="X32" s="40"/>
    </row>
    <row r="33" spans="3:24" s="25" customFormat="1" ht="14.1" customHeight="1" x14ac:dyDescent="0.25">
      <c r="C33" s="50"/>
      <c r="E33" s="60"/>
      <c r="H33" s="61"/>
      <c r="I33" s="60"/>
      <c r="L33" s="61"/>
      <c r="P33" s="284"/>
      <c r="Q33" s="284"/>
      <c r="R33" s="284"/>
      <c r="S33" s="284"/>
      <c r="T33" s="284"/>
      <c r="U33" s="284"/>
      <c r="V33" s="284"/>
      <c r="W33" s="40"/>
      <c r="X33" s="40"/>
    </row>
    <row r="34" spans="3:24" s="25" customFormat="1" ht="14.1" customHeight="1" x14ac:dyDescent="0.25">
      <c r="C34" s="50"/>
      <c r="E34" s="60"/>
      <c r="H34" s="61"/>
      <c r="I34" s="60"/>
      <c r="L34" s="61"/>
      <c r="P34" s="284"/>
      <c r="Q34" s="284"/>
      <c r="R34" s="284"/>
      <c r="S34" s="284"/>
      <c r="T34" s="284"/>
      <c r="U34" s="284"/>
      <c r="V34" s="284"/>
      <c r="W34" s="40"/>
      <c r="X34" s="40"/>
    </row>
    <row r="35" spans="3:24" s="25" customFormat="1" ht="14.1" customHeight="1" x14ac:dyDescent="0.25">
      <c r="C35" s="50"/>
      <c r="E35" s="60"/>
      <c r="H35" s="61"/>
      <c r="I35" s="60"/>
      <c r="L35" s="61"/>
      <c r="P35" s="284"/>
      <c r="Q35" s="284"/>
      <c r="R35" s="284"/>
      <c r="S35" s="40"/>
      <c r="T35" s="40"/>
      <c r="U35" s="40"/>
      <c r="V35" s="40"/>
      <c r="W35" s="40"/>
      <c r="X35" s="40"/>
    </row>
    <row r="36" spans="3:24" s="25" customFormat="1" ht="14.1" customHeight="1" x14ac:dyDescent="0.25">
      <c r="C36" s="50"/>
      <c r="E36" s="60"/>
      <c r="H36" s="61"/>
      <c r="I36" s="60"/>
      <c r="L36" s="61"/>
      <c r="P36" s="284"/>
      <c r="S36" s="40"/>
      <c r="T36" s="40"/>
      <c r="U36" s="40"/>
      <c r="V36" s="40"/>
      <c r="W36" s="40"/>
      <c r="X36" s="40"/>
    </row>
    <row r="37" spans="3:24" s="25" customFormat="1" ht="13.35" customHeight="1" x14ac:dyDescent="0.25">
      <c r="C37" s="50"/>
      <c r="E37" s="60"/>
      <c r="H37" s="61"/>
      <c r="I37" s="60"/>
      <c r="L37" s="61"/>
      <c r="S37" s="40"/>
      <c r="T37" s="40"/>
      <c r="U37" s="40"/>
      <c r="V37" s="40"/>
      <c r="W37" s="40"/>
      <c r="X37" s="40"/>
    </row>
    <row r="38" spans="3:24" s="25" customFormat="1" ht="14.1" customHeight="1" x14ac:dyDescent="0.25">
      <c r="C38" s="50"/>
      <c r="E38" s="60"/>
      <c r="H38" s="61"/>
      <c r="I38" s="60"/>
      <c r="L38" s="61"/>
      <c r="S38" s="40"/>
      <c r="T38" s="40"/>
      <c r="U38" s="40"/>
      <c r="V38" s="40"/>
      <c r="W38" s="40"/>
      <c r="X38" s="40"/>
    </row>
    <row r="39" spans="3:24" s="25" customFormat="1" ht="14.1" customHeight="1" x14ac:dyDescent="0.25">
      <c r="C39" s="50"/>
      <c r="E39" s="60"/>
      <c r="H39" s="61"/>
      <c r="I39" s="60"/>
      <c r="L39" s="61"/>
      <c r="S39" s="40"/>
      <c r="T39" s="40"/>
      <c r="U39" s="40"/>
      <c r="V39" s="40"/>
      <c r="W39" s="40"/>
      <c r="X39" s="40"/>
    </row>
    <row r="40" spans="3:24" s="25" customFormat="1" ht="14.1" customHeight="1" x14ac:dyDescent="0.25">
      <c r="C40" s="50"/>
      <c r="E40" s="60"/>
      <c r="H40" s="61"/>
      <c r="I40" s="60"/>
      <c r="L40" s="61"/>
      <c r="S40" s="40"/>
      <c r="T40" s="40"/>
      <c r="U40" s="40"/>
      <c r="V40" s="40"/>
      <c r="W40" s="40"/>
      <c r="X40" s="40"/>
    </row>
    <row r="41" spans="3:24" s="25" customFormat="1" ht="14.1" customHeight="1" x14ac:dyDescent="0.25">
      <c r="C41" s="50"/>
      <c r="E41" s="60"/>
      <c r="H41" s="61"/>
      <c r="I41" s="60"/>
      <c r="L41" s="61"/>
      <c r="S41" s="40"/>
      <c r="T41" s="40"/>
      <c r="U41" s="40"/>
      <c r="V41" s="40"/>
      <c r="W41" s="40"/>
      <c r="X41" s="40"/>
    </row>
    <row r="42" spans="3:24" s="25" customFormat="1" ht="14.85" customHeight="1" thickBot="1" x14ac:dyDescent="0.3">
      <c r="C42" s="50"/>
      <c r="E42" s="63"/>
      <c r="F42" s="64"/>
      <c r="G42" s="64"/>
      <c r="H42" s="65"/>
      <c r="I42" s="63"/>
      <c r="J42" s="64"/>
      <c r="K42" s="64"/>
      <c r="L42" s="65"/>
      <c r="S42" s="40"/>
      <c r="T42" s="40"/>
      <c r="U42" s="40"/>
      <c r="V42" s="40"/>
      <c r="W42" s="40"/>
      <c r="X42" s="40"/>
    </row>
    <row r="43" spans="3:24" s="25" customFormat="1" ht="14.1" customHeight="1" x14ac:dyDescent="0.25">
      <c r="C43" s="50"/>
      <c r="S43" s="40"/>
      <c r="T43" s="40"/>
      <c r="U43" s="40"/>
      <c r="V43" s="40"/>
      <c r="W43" s="40"/>
      <c r="X43" s="40"/>
    </row>
    <row r="44" spans="3:24" s="25" customFormat="1" ht="14.1" customHeight="1" x14ac:dyDescent="0.25">
      <c r="C44" s="50"/>
      <c r="S44" s="40"/>
      <c r="T44" s="40"/>
      <c r="U44" s="40"/>
      <c r="V44" s="40"/>
      <c r="W44" s="40"/>
      <c r="X44" s="40"/>
    </row>
    <row r="45" spans="3:24" s="25" customFormat="1" ht="26.25" x14ac:dyDescent="0.25">
      <c r="C45" s="50" t="s">
        <v>359</v>
      </c>
      <c r="S45" s="40"/>
      <c r="T45" s="40"/>
      <c r="U45" s="40"/>
      <c r="V45" s="40"/>
      <c r="W45" s="40"/>
      <c r="X45" s="40"/>
    </row>
    <row r="46" spans="3:24" s="25" customFormat="1" ht="14.85" customHeight="1" thickBot="1" x14ac:dyDescent="0.3">
      <c r="C46" s="50"/>
      <c r="S46" s="40"/>
      <c r="T46" s="40"/>
      <c r="U46" s="40"/>
      <c r="V46" s="40"/>
      <c r="W46" s="40"/>
      <c r="X46" s="40"/>
    </row>
    <row r="47" spans="3:24" s="25" customFormat="1" ht="27" thickBot="1" x14ac:dyDescent="0.3">
      <c r="C47" s="50"/>
      <c r="E47" s="415" t="s">
        <v>387</v>
      </c>
      <c r="F47" s="416"/>
      <c r="G47" s="416"/>
      <c r="H47" s="416"/>
      <c r="I47" s="416"/>
      <c r="J47" s="417"/>
      <c r="K47" s="415" t="s">
        <v>389</v>
      </c>
      <c r="L47" s="416"/>
      <c r="M47" s="416"/>
      <c r="N47" s="416"/>
      <c r="O47" s="416"/>
      <c r="P47" s="417"/>
      <c r="S47" s="40"/>
      <c r="T47" s="40"/>
      <c r="U47" s="40"/>
      <c r="V47" s="40"/>
      <c r="W47" s="40"/>
      <c r="X47" s="40"/>
    </row>
    <row r="48" spans="3:24" s="25" customFormat="1" x14ac:dyDescent="0.25">
      <c r="C48" s="467"/>
      <c r="D48" s="468"/>
      <c r="E48" s="288" t="s">
        <v>362</v>
      </c>
      <c r="F48" s="376" t="str">
        <f>'Conservation grazing tool'!C42</f>
        <v>Bison</v>
      </c>
      <c r="G48" s="376" t="str">
        <f>'Conservation grazing tool'!C43</f>
        <v>Water buffalo</v>
      </c>
      <c r="H48" s="376" t="str">
        <f>'Conservation grazing tool'!C44</f>
        <v>Cattle</v>
      </c>
      <c r="I48" s="477" t="s">
        <v>274</v>
      </c>
      <c r="J48" s="475" t="s">
        <v>167</v>
      </c>
      <c r="K48" s="288" t="s">
        <v>362</v>
      </c>
      <c r="L48" s="376" t="str">
        <f>'Conservation grazing tool'!C42</f>
        <v>Bison</v>
      </c>
      <c r="M48" s="376" t="str">
        <f>'Conservation grazing tool'!C43</f>
        <v>Water buffalo</v>
      </c>
      <c r="N48" s="376" t="str">
        <f>'Conservation grazing tool'!C44</f>
        <v>Cattle</v>
      </c>
      <c r="O48" s="477" t="s">
        <v>274</v>
      </c>
      <c r="P48" s="475" t="s">
        <v>167</v>
      </c>
      <c r="S48" s="40"/>
      <c r="T48" s="40"/>
      <c r="U48" s="40"/>
      <c r="V48" s="40"/>
      <c r="W48" s="40"/>
      <c r="X48" s="40"/>
    </row>
    <row r="49" spans="3:26" s="25" customFormat="1" ht="30.75" thickBot="1" x14ac:dyDescent="0.3">
      <c r="C49" s="469"/>
      <c r="D49" s="470"/>
      <c r="E49" s="377" t="s">
        <v>363</v>
      </c>
      <c r="F49" s="378" t="str">
        <f>'Conservation grazing tool'!D42</f>
        <v>European (360 – 990 kg)</v>
      </c>
      <c r="G49" s="379" t="str">
        <f>'Conservation grazing tool'!D43</f>
        <v>Standard (300 – 600 kg)</v>
      </c>
      <c r="H49" s="379" t="str">
        <f>'Conservation grazing tool'!D44</f>
        <v>Medium (500 kg - 700 kg)</v>
      </c>
      <c r="I49" s="478"/>
      <c r="J49" s="476"/>
      <c r="K49" s="377" t="s">
        <v>363</v>
      </c>
      <c r="L49" s="378" t="str">
        <f>'Conservation grazing tool'!D42</f>
        <v>European (360 – 990 kg)</v>
      </c>
      <c r="M49" s="379" t="str">
        <f>'Conservation grazing tool'!D43</f>
        <v>Standard (300 – 600 kg)</v>
      </c>
      <c r="N49" s="379" t="str">
        <f>'Conservation grazing tool'!D44</f>
        <v>Medium (500 kg - 700 kg)</v>
      </c>
      <c r="O49" s="478"/>
      <c r="P49" s="476"/>
      <c r="S49" s="40"/>
      <c r="T49" s="40"/>
      <c r="U49" s="40"/>
      <c r="V49" s="40"/>
      <c r="W49" s="40"/>
      <c r="X49" s="40"/>
    </row>
    <row r="50" spans="3:26" s="25" customFormat="1" ht="15.75" thickBot="1" x14ac:dyDescent="0.3">
      <c r="C50" s="465" t="s">
        <v>372</v>
      </c>
      <c r="D50" s="466"/>
      <c r="E50" s="66"/>
      <c r="F50" s="292">
        <f>IF(ISNUMBER('Conservation grazing tool'!H42)=TRUE,'Conservation grazing tool'!H42," ")</f>
        <v>0</v>
      </c>
      <c r="G50" s="292">
        <f>IF(ISNUMBER('Conservation grazing tool'!H43)=TRUE,'Conservation grazing tool'!H43," ")</f>
        <v>0</v>
      </c>
      <c r="H50" s="292">
        <f>IF(ISNUMBER('Conservation grazing tool'!H44)=TRUE,'Conservation grazing tool'!H44," ")</f>
        <v>0</v>
      </c>
      <c r="I50" s="292">
        <f>IF(ISNUMBER('Conservation grazing tool'!H45)=TRUE,'Conservation grazing tool'!H45," ")</f>
        <v>0</v>
      </c>
      <c r="J50" s="380" t="str" cm="1">
        <f t="array" ref="J50">_xlfn.IFS('Conservation grazing tool'!$I$70&gt;'Conservation grazing tool'!$F$73,"Limit reached",'Conservation grazing tool'!$I$70&gt;='Conservation grazing tool'!$G$73,'Conservation grazing tool'!$F$69,'Conservation grazing tool'!$I$70&lt;='Conservation grazing tool'!$H$73,'Conservation grazing tool'!$H$69,AND('Conservation grazing tool'!$I$70&gt;'Conservation grazing tool'!$H$73,'Conservation grazing tool'!$I$70&lt;'Conservation grazing tool'!$F$73),'Conservation grazing tool'!$G$69)</f>
        <v>High</v>
      </c>
      <c r="K50" s="76"/>
      <c r="L50" s="79">
        <f>IF(ISNUMBER('Conservation grazing tool'!K42)=TRUE,'Conservation grazing tool'!K42," ")</f>
        <v>0</v>
      </c>
      <c r="M50" s="79">
        <f>IF(ISNUMBER('Conservation grazing tool'!K43)=TRUE,'Conservation grazing tool'!K43," ")</f>
        <v>0</v>
      </c>
      <c r="N50" s="79">
        <f>IF(ISNUMBER('Conservation grazing tool'!K44)=TRUE,'Conservation grazing tool'!K44," ")</f>
        <v>0</v>
      </c>
      <c r="O50" s="79">
        <f>IF(ISNUMBER('Conservation grazing tool'!K45)=TRUE,'Conservation grazing tool'!K45," ")</f>
        <v>0</v>
      </c>
      <c r="P50" s="380" t="str" cm="1">
        <f t="array" ref="P50">_xlfn.IFS('Conservation grazing tool'!$I$70&gt;'Conservation grazing tool'!$F$73,"Limit reached",'Conservation grazing tool'!$I$70&gt;='Conservation grazing tool'!$G$73,'Conservation grazing tool'!$F$69,'Conservation grazing tool'!$I$70&lt;='Conservation grazing tool'!$H$73,'Conservation grazing tool'!$H$69,AND('Conservation grazing tool'!$I$70&gt;'Conservation grazing tool'!$H$73,'Conservation grazing tool'!$I$70&lt;'Conservation grazing tool'!$F$73),'Conservation grazing tool'!$G$69)</f>
        <v>High</v>
      </c>
      <c r="S50" s="40"/>
      <c r="T50" s="40"/>
      <c r="U50" s="40"/>
      <c r="V50" s="40"/>
      <c r="W50" s="40"/>
      <c r="X50" s="40"/>
    </row>
    <row r="51" spans="3:26" s="25" customFormat="1" ht="15.75" thickBot="1" x14ac:dyDescent="0.3">
      <c r="E51" s="37"/>
      <c r="F51" s="67"/>
      <c r="G51" s="67"/>
      <c r="H51" s="67"/>
      <c r="I51" s="67"/>
      <c r="J51" s="67"/>
      <c r="S51" s="40"/>
      <c r="T51" s="40"/>
      <c r="U51" s="40"/>
      <c r="V51" s="40"/>
      <c r="W51" s="40"/>
      <c r="X51" s="40"/>
    </row>
    <row r="52" spans="3:26" s="25" customFormat="1" ht="18.75" thickBot="1" x14ac:dyDescent="0.3">
      <c r="E52" s="415" t="s">
        <v>388</v>
      </c>
      <c r="F52" s="416"/>
      <c r="G52" s="416"/>
      <c r="H52" s="416"/>
      <c r="I52" s="416"/>
      <c r="J52" s="417"/>
      <c r="K52" s="415" t="s">
        <v>390</v>
      </c>
      <c r="L52" s="416"/>
      <c r="M52" s="416"/>
      <c r="N52" s="416"/>
      <c r="O52" s="416"/>
      <c r="P52" s="417"/>
      <c r="S52" s="40"/>
      <c r="T52" s="40"/>
      <c r="U52" s="40"/>
      <c r="V52" s="40"/>
      <c r="W52" s="40"/>
      <c r="X52" s="40"/>
    </row>
    <row r="53" spans="3:26" s="25" customFormat="1" ht="15.75" thickBot="1" x14ac:dyDescent="0.3">
      <c r="C53" s="36" t="str">
        <f>C17</f>
        <v>Habitat type</v>
      </c>
      <c r="D53" s="43" t="str">
        <f>D17</f>
        <v>Area</v>
      </c>
      <c r="E53" s="445" t="s">
        <v>365</v>
      </c>
      <c r="F53" s="449"/>
      <c r="G53" s="449"/>
      <c r="H53" s="449"/>
      <c r="I53" s="449"/>
      <c r="J53" s="458"/>
      <c r="K53" s="445" t="s">
        <v>365</v>
      </c>
      <c r="L53" s="449"/>
      <c r="M53" s="449"/>
      <c r="N53" s="449"/>
      <c r="O53" s="449"/>
      <c r="P53" s="446"/>
      <c r="S53" s="40"/>
      <c r="T53" s="40"/>
      <c r="U53" s="40"/>
      <c r="V53" s="40"/>
      <c r="W53" s="40"/>
      <c r="X53" s="40"/>
    </row>
    <row r="54" spans="3:26" s="25" customFormat="1" ht="15.75" customHeight="1" thickBot="1" x14ac:dyDescent="0.3">
      <c r="C54" s="27"/>
      <c r="D54" s="51" t="str">
        <f>D18</f>
        <v>(ha)</v>
      </c>
      <c r="E54" s="445" t="s">
        <v>383</v>
      </c>
      <c r="F54" s="449"/>
      <c r="G54" s="449"/>
      <c r="H54" s="449" t="s">
        <v>421</v>
      </c>
      <c r="I54" s="449"/>
      <c r="J54" s="458"/>
      <c r="K54" s="445" t="s">
        <v>383</v>
      </c>
      <c r="L54" s="449"/>
      <c r="M54" s="449"/>
      <c r="N54" s="449" t="s">
        <v>421</v>
      </c>
      <c r="O54" s="449"/>
      <c r="P54" s="446"/>
      <c r="S54" s="40"/>
      <c r="T54" s="40"/>
      <c r="U54" s="40"/>
      <c r="V54" s="40"/>
      <c r="W54" s="40"/>
      <c r="X54" s="40"/>
    </row>
    <row r="55" spans="3:26" s="25" customFormat="1" x14ac:dyDescent="0.25">
      <c r="C55" s="52" t="str">
        <f>C19</f>
        <v>Calcareous Grassland</v>
      </c>
      <c r="D55" s="53">
        <f>D19</f>
        <v>0</v>
      </c>
      <c r="E55" s="488">
        <f>IFERROR(E19+G19+$I$50,0)</f>
        <v>0</v>
      </c>
      <c r="F55" s="459"/>
      <c r="G55" s="459"/>
      <c r="H55" s="459">
        <f>IFERROR(F19+H19+$I$50,0)</f>
        <v>0</v>
      </c>
      <c r="I55" s="459"/>
      <c r="J55" s="460"/>
      <c r="K55" s="463">
        <f>IFERROR(I19+K19+$O$50,0)</f>
        <v>0</v>
      </c>
      <c r="L55" s="450"/>
      <c r="M55" s="450"/>
      <c r="N55" s="450">
        <f>IFERROR(J19+L19+$O$50,0)</f>
        <v>0.04</v>
      </c>
      <c r="O55" s="450"/>
      <c r="P55" s="451"/>
      <c r="S55" s="40"/>
      <c r="T55" s="40"/>
      <c r="U55" s="40"/>
      <c r="V55" s="40"/>
      <c r="W55" s="40"/>
      <c r="X55" s="40"/>
    </row>
    <row r="56" spans="3:26" s="25" customFormat="1" x14ac:dyDescent="0.25">
      <c r="C56" s="54" t="str">
        <f>C20</f>
        <v xml:space="preserve"> </v>
      </c>
      <c r="D56" s="55" t="str">
        <f>D20</f>
        <v xml:space="preserve"> </v>
      </c>
      <c r="E56" s="485">
        <f>IFERROR(E20+G20+$I$50,0)</f>
        <v>0</v>
      </c>
      <c r="F56" s="486"/>
      <c r="G56" s="486"/>
      <c r="H56" s="486">
        <f>IFERROR(F20+H20+$I$50,0)</f>
        <v>0</v>
      </c>
      <c r="I56" s="486"/>
      <c r="J56" s="487"/>
      <c r="K56" s="464">
        <f>IFERROR(I20+K20+$O$50,0)</f>
        <v>0</v>
      </c>
      <c r="L56" s="452"/>
      <c r="M56" s="452"/>
      <c r="N56" s="452">
        <f>IFERROR(J20+L20+$O$50,0)</f>
        <v>0</v>
      </c>
      <c r="O56" s="452"/>
      <c r="P56" s="453"/>
      <c r="S56" s="40"/>
      <c r="T56" s="40"/>
      <c r="U56" s="40"/>
      <c r="V56" s="40"/>
      <c r="W56" s="40"/>
      <c r="X56" s="40"/>
      <c r="Z56" s="68"/>
    </row>
    <row r="57" spans="3:26" s="25" customFormat="1" ht="15.75" thickBot="1" x14ac:dyDescent="0.3">
      <c r="C57" s="56" t="str">
        <f>C21</f>
        <v xml:space="preserve"> </v>
      </c>
      <c r="D57" s="57" t="str">
        <f>D21</f>
        <v xml:space="preserve"> </v>
      </c>
      <c r="E57" s="479">
        <f>IFERROR(E21+G21+$I$50,0)</f>
        <v>0</v>
      </c>
      <c r="F57" s="480"/>
      <c r="G57" s="480"/>
      <c r="H57" s="480">
        <f>IFERROR(F21+H21+$I$50,0)</f>
        <v>0</v>
      </c>
      <c r="I57" s="480"/>
      <c r="J57" s="483"/>
      <c r="K57" s="461">
        <f>IFERROR(I21+K21+$O$50,0)</f>
        <v>0</v>
      </c>
      <c r="L57" s="454"/>
      <c r="M57" s="454"/>
      <c r="N57" s="454">
        <f>IFERROR(J21+L21+$O$50,0)</f>
        <v>0</v>
      </c>
      <c r="O57" s="454"/>
      <c r="P57" s="455"/>
      <c r="S57" s="40"/>
      <c r="T57" s="40"/>
      <c r="U57" s="40"/>
      <c r="V57" s="40"/>
      <c r="W57" s="40"/>
      <c r="X57" s="40"/>
    </row>
    <row r="58" spans="3:26" s="25" customFormat="1" ht="15.75" thickBot="1" x14ac:dyDescent="0.3">
      <c r="C58" s="58" t="str">
        <f>C22</f>
        <v>Total</v>
      </c>
      <c r="D58" s="69" t="str">
        <f>D22</f>
        <v/>
      </c>
      <c r="E58" s="481">
        <f>IFERROR(E22+G22+$I$50,0)</f>
        <v>0</v>
      </c>
      <c r="F58" s="482"/>
      <c r="G58" s="482"/>
      <c r="H58" s="482">
        <f>IFERROR(F22+H22+$I$50,0)</f>
        <v>0</v>
      </c>
      <c r="I58" s="482"/>
      <c r="J58" s="484"/>
      <c r="K58" s="462">
        <f>IFERROR(I22+K22+$O$50,0)</f>
        <v>0</v>
      </c>
      <c r="L58" s="456"/>
      <c r="M58" s="456"/>
      <c r="N58" s="456">
        <f>IFERROR(J22+L22+$O$50,0)</f>
        <v>0.04</v>
      </c>
      <c r="O58" s="456"/>
      <c r="P58" s="457"/>
      <c r="S58" s="40"/>
      <c r="T58" s="40"/>
      <c r="U58" s="40"/>
      <c r="V58" s="40"/>
      <c r="W58" s="40"/>
      <c r="X58" s="40"/>
    </row>
    <row r="59" spans="3:26" s="25" customFormat="1" ht="14.1" customHeight="1" x14ac:dyDescent="0.25">
      <c r="C59" s="50"/>
      <c r="E59" s="60"/>
      <c r="J59" s="61"/>
      <c r="K59" s="60"/>
      <c r="P59" s="61"/>
      <c r="S59" s="40"/>
      <c r="T59" s="40"/>
      <c r="U59" s="40"/>
      <c r="V59" s="40"/>
      <c r="W59" s="40"/>
      <c r="X59" s="40"/>
    </row>
    <row r="60" spans="3:26" s="25" customFormat="1" ht="14.1" customHeight="1" x14ac:dyDescent="0.25">
      <c r="C60" s="50"/>
      <c r="E60" s="60"/>
      <c r="J60" s="61"/>
      <c r="K60" s="60"/>
      <c r="P60" s="61"/>
      <c r="S60" s="40"/>
      <c r="T60" s="40"/>
      <c r="U60" s="40"/>
      <c r="V60" s="40"/>
      <c r="W60" s="40"/>
      <c r="X60" s="40"/>
    </row>
    <row r="61" spans="3:26" s="25" customFormat="1" ht="14.1" customHeight="1" x14ac:dyDescent="0.25">
      <c r="C61" s="50"/>
      <c r="E61" s="60"/>
      <c r="J61" s="61"/>
      <c r="K61" s="60"/>
      <c r="P61" s="61"/>
      <c r="S61" s="40"/>
      <c r="T61" s="40"/>
      <c r="U61" s="40"/>
      <c r="V61" s="40"/>
      <c r="W61" s="40"/>
      <c r="X61" s="40"/>
    </row>
    <row r="62" spans="3:26" s="25" customFormat="1" ht="14.1" customHeight="1" x14ac:dyDescent="0.25">
      <c r="C62" s="50"/>
      <c r="E62" s="60"/>
      <c r="J62" s="61"/>
      <c r="K62" s="60"/>
      <c r="P62" s="61"/>
      <c r="S62" s="40"/>
      <c r="T62" s="40"/>
      <c r="U62" s="40"/>
      <c r="V62" s="40"/>
      <c r="W62" s="40"/>
      <c r="X62" s="40"/>
    </row>
    <row r="63" spans="3:26" s="25" customFormat="1" ht="14.1" customHeight="1" x14ac:dyDescent="0.25">
      <c r="C63" s="50"/>
      <c r="E63" s="60"/>
      <c r="J63" s="61"/>
      <c r="K63" s="60"/>
      <c r="P63" s="61"/>
      <c r="S63" s="40"/>
      <c r="T63" s="40"/>
      <c r="U63" s="40"/>
      <c r="V63" s="40"/>
      <c r="W63" s="40"/>
      <c r="X63" s="40"/>
    </row>
    <row r="64" spans="3:26" s="25" customFormat="1" ht="14.1" customHeight="1" x14ac:dyDescent="0.25">
      <c r="C64" s="50"/>
      <c r="E64" s="60"/>
      <c r="J64" s="61"/>
      <c r="K64" s="60"/>
      <c r="P64" s="61"/>
      <c r="S64" s="40"/>
      <c r="T64" s="40"/>
      <c r="U64" s="40"/>
      <c r="V64" s="40"/>
      <c r="W64" s="40"/>
      <c r="X64" s="40"/>
      <c r="Y64" s="68"/>
    </row>
    <row r="65" spans="3:24" s="25" customFormat="1" ht="14.1" customHeight="1" x14ac:dyDescent="0.25">
      <c r="C65" s="50"/>
      <c r="E65" s="60"/>
      <c r="J65" s="61"/>
      <c r="K65" s="60"/>
      <c r="P65" s="61"/>
      <c r="S65" s="40"/>
      <c r="T65" s="40"/>
      <c r="U65" s="40"/>
      <c r="V65" s="40"/>
      <c r="W65" s="40"/>
      <c r="X65" s="40"/>
    </row>
    <row r="66" spans="3:24" s="25" customFormat="1" ht="14.1" customHeight="1" x14ac:dyDescent="0.25">
      <c r="C66" s="50"/>
      <c r="E66" s="60"/>
      <c r="J66" s="61"/>
      <c r="K66" s="60"/>
      <c r="P66" s="61"/>
      <c r="S66" s="40"/>
      <c r="T66" s="40"/>
      <c r="U66" s="40"/>
      <c r="V66" s="40"/>
      <c r="W66" s="40"/>
      <c r="X66" s="40"/>
    </row>
    <row r="67" spans="3:24" s="25" customFormat="1" ht="12.6" customHeight="1" x14ac:dyDescent="0.25">
      <c r="C67" s="50"/>
      <c r="E67" s="60"/>
      <c r="J67" s="61"/>
      <c r="K67" s="60"/>
      <c r="P67" s="61"/>
      <c r="S67" s="40"/>
      <c r="T67" s="40"/>
      <c r="U67" s="40"/>
      <c r="V67" s="40"/>
      <c r="W67" s="40"/>
      <c r="X67" s="40"/>
    </row>
    <row r="68" spans="3:24" s="25" customFormat="1" ht="14.1" customHeight="1" x14ac:dyDescent="0.25">
      <c r="C68" s="50"/>
      <c r="E68" s="60"/>
      <c r="J68" s="61"/>
      <c r="K68" s="60"/>
      <c r="P68" s="61"/>
      <c r="S68" s="40"/>
      <c r="T68" s="40"/>
      <c r="U68" s="40"/>
      <c r="V68" s="40"/>
      <c r="W68" s="40"/>
      <c r="X68" s="40"/>
    </row>
    <row r="69" spans="3:24" s="25" customFormat="1" ht="14.1" customHeight="1" x14ac:dyDescent="0.25">
      <c r="C69" s="50"/>
      <c r="E69" s="60"/>
      <c r="J69" s="61"/>
      <c r="K69" s="60"/>
      <c r="P69" s="61"/>
      <c r="S69" s="40"/>
      <c r="T69" s="40"/>
      <c r="U69" s="40"/>
      <c r="V69" s="40"/>
      <c r="W69" s="40"/>
      <c r="X69" s="40"/>
    </row>
    <row r="70" spans="3:24" s="25" customFormat="1" ht="14.85" customHeight="1" x14ac:dyDescent="0.25">
      <c r="C70" s="50"/>
      <c r="E70" s="60"/>
      <c r="J70" s="61"/>
      <c r="K70" s="60"/>
      <c r="P70" s="61"/>
      <c r="S70" s="40"/>
      <c r="T70" s="40"/>
      <c r="U70" s="40"/>
      <c r="V70" s="40"/>
      <c r="W70" s="40"/>
      <c r="X70" s="40"/>
    </row>
    <row r="71" spans="3:24" s="25" customFormat="1" ht="14.85" customHeight="1" x14ac:dyDescent="0.25">
      <c r="C71" s="50"/>
      <c r="E71" s="60"/>
      <c r="J71" s="61"/>
      <c r="K71" s="60"/>
      <c r="P71" s="61"/>
      <c r="S71" s="40"/>
      <c r="T71" s="40"/>
      <c r="U71" s="40"/>
      <c r="V71" s="40"/>
      <c r="W71" s="40"/>
      <c r="X71" s="40"/>
    </row>
    <row r="72" spans="3:24" s="25" customFormat="1" ht="14.1" customHeight="1" x14ac:dyDescent="0.25">
      <c r="C72" s="50"/>
      <c r="E72" s="60"/>
      <c r="J72" s="61"/>
      <c r="K72" s="60"/>
      <c r="P72" s="61"/>
      <c r="S72" s="40"/>
      <c r="T72" s="40"/>
      <c r="U72" s="40"/>
      <c r="V72" s="40"/>
      <c r="W72" s="40"/>
      <c r="X72" s="40"/>
    </row>
    <row r="73" spans="3:24" s="25" customFormat="1" ht="14.1" customHeight="1" x14ac:dyDescent="0.25">
      <c r="C73" s="50"/>
      <c r="E73" s="60"/>
      <c r="J73" s="61"/>
      <c r="K73" s="60"/>
      <c r="P73" s="61"/>
      <c r="S73" s="40"/>
      <c r="T73" s="40"/>
      <c r="U73" s="40"/>
      <c r="V73" s="40"/>
      <c r="W73" s="40"/>
      <c r="X73" s="40"/>
    </row>
    <row r="74" spans="3:24" s="25" customFormat="1" ht="14.85" customHeight="1" x14ac:dyDescent="0.25">
      <c r="C74" s="50"/>
      <c r="E74" s="60"/>
      <c r="J74" s="61"/>
      <c r="K74" s="60"/>
      <c r="P74" s="61"/>
      <c r="S74" s="40"/>
      <c r="T74" s="40"/>
      <c r="U74" s="40"/>
      <c r="V74" s="40"/>
      <c r="W74" s="40"/>
      <c r="X74" s="40"/>
    </row>
    <row r="75" spans="3:24" s="25" customFormat="1" ht="14.1" customHeight="1" x14ac:dyDescent="0.25">
      <c r="C75" s="50"/>
      <c r="E75" s="60"/>
      <c r="J75" s="61"/>
      <c r="K75" s="60"/>
      <c r="P75" s="61"/>
      <c r="S75" s="40"/>
      <c r="T75" s="40"/>
      <c r="U75" s="40"/>
      <c r="V75" s="40"/>
      <c r="W75" s="40"/>
      <c r="X75" s="40"/>
    </row>
    <row r="76" spans="3:24" s="25" customFormat="1" ht="14.85" customHeight="1" x14ac:dyDescent="0.25">
      <c r="C76" s="50"/>
      <c r="E76" s="60"/>
      <c r="J76" s="61"/>
      <c r="K76" s="60"/>
      <c r="P76" s="61"/>
      <c r="S76" s="40"/>
      <c r="T76" s="40"/>
      <c r="U76" s="40"/>
      <c r="V76" s="40"/>
      <c r="W76" s="40"/>
      <c r="X76" s="40"/>
    </row>
    <row r="77" spans="3:24" s="25" customFormat="1" ht="14.1" customHeight="1" x14ac:dyDescent="0.25">
      <c r="C77" s="50"/>
      <c r="E77" s="60"/>
      <c r="J77" s="61"/>
      <c r="K77" s="60"/>
      <c r="P77" s="61"/>
      <c r="S77" s="40"/>
      <c r="T77" s="40"/>
      <c r="U77" s="40"/>
      <c r="V77" s="40"/>
      <c r="W77" s="40"/>
      <c r="X77" s="40"/>
    </row>
    <row r="78" spans="3:24" s="25" customFormat="1" ht="14.1" customHeight="1" x14ac:dyDescent="0.25">
      <c r="C78" s="50"/>
      <c r="E78" s="60"/>
      <c r="J78" s="61"/>
      <c r="K78" s="60"/>
      <c r="P78" s="61"/>
      <c r="S78" s="40"/>
      <c r="T78" s="40"/>
      <c r="U78" s="40"/>
      <c r="V78" s="40"/>
      <c r="W78" s="40"/>
      <c r="X78" s="40"/>
    </row>
    <row r="79" spans="3:24" s="25" customFormat="1" ht="14.1" customHeight="1" x14ac:dyDescent="0.25">
      <c r="C79" s="50"/>
      <c r="E79" s="60"/>
      <c r="J79" s="61"/>
      <c r="K79" s="60"/>
      <c r="P79" s="61"/>
      <c r="S79" s="40"/>
      <c r="T79" s="40"/>
      <c r="U79" s="40"/>
      <c r="V79" s="40"/>
      <c r="W79" s="40"/>
      <c r="X79" s="40"/>
    </row>
    <row r="80" spans="3:24" s="25" customFormat="1" ht="14.1" customHeight="1" x14ac:dyDescent="0.25">
      <c r="C80" s="50"/>
      <c r="E80" s="60"/>
      <c r="J80" s="61"/>
      <c r="K80" s="60"/>
      <c r="P80" s="61"/>
      <c r="S80" s="40"/>
      <c r="T80" s="40"/>
      <c r="U80" s="40"/>
      <c r="V80" s="40"/>
      <c r="W80" s="40"/>
      <c r="X80" s="40"/>
    </row>
    <row r="81" spans="1:56" s="25" customFormat="1" ht="14.1" customHeight="1" thickBot="1" x14ac:dyDescent="0.3">
      <c r="C81" s="50"/>
      <c r="E81" s="63"/>
      <c r="F81" s="64"/>
      <c r="G81" s="64"/>
      <c r="H81" s="64"/>
      <c r="I81" s="64"/>
      <c r="J81" s="65"/>
      <c r="K81" s="63"/>
      <c r="L81" s="64"/>
      <c r="M81" s="64"/>
      <c r="N81" s="64"/>
      <c r="O81" s="64"/>
      <c r="P81" s="65"/>
      <c r="S81" s="40"/>
      <c r="T81" s="40"/>
      <c r="U81" s="40"/>
      <c r="V81" s="40"/>
      <c r="W81" s="40"/>
      <c r="X81" s="40"/>
    </row>
    <row r="82" spans="1:56" s="25" customFormat="1" ht="14.85" customHeight="1" x14ac:dyDescent="0.25">
      <c r="C82" s="50"/>
      <c r="P82" s="68"/>
      <c r="Q82" s="68"/>
      <c r="S82" s="40"/>
      <c r="T82" s="40"/>
      <c r="U82" s="40"/>
      <c r="V82" s="40"/>
      <c r="W82" s="40"/>
      <c r="X82" s="40"/>
    </row>
    <row r="83" spans="1:56" s="70" customFormat="1" ht="26.25" x14ac:dyDescent="0.25">
      <c r="A83" s="25"/>
      <c r="B83" s="25"/>
      <c r="C83" s="50" t="s">
        <v>320</v>
      </c>
      <c r="D83" s="50"/>
      <c r="E83" s="50"/>
      <c r="F83" s="50"/>
      <c r="G83" s="25"/>
      <c r="H83" s="25"/>
      <c r="I83" s="25"/>
      <c r="J83" s="25"/>
      <c r="K83" s="68"/>
      <c r="L83" s="68"/>
      <c r="M83" s="68"/>
      <c r="N83" s="68"/>
      <c r="O83" s="68"/>
      <c r="P83" s="25"/>
      <c r="Q83" s="25"/>
      <c r="R83" s="25"/>
      <c r="S83" s="40"/>
      <c r="T83" s="40"/>
      <c r="U83" s="40"/>
      <c r="V83" s="40"/>
      <c r="W83" s="40"/>
      <c r="X83" s="40"/>
      <c r="Y83" s="25"/>
      <c r="Z83" s="25"/>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row>
    <row r="84" spans="1:56" ht="14.1" customHeight="1" x14ac:dyDescent="0.25">
      <c r="A84" s="25"/>
      <c r="B84" s="25"/>
      <c r="C84" s="50"/>
      <c r="D84" s="50"/>
      <c r="E84" s="50"/>
      <c r="F84" s="50"/>
      <c r="G84" s="25"/>
      <c r="I84" s="25"/>
      <c r="J84" s="68"/>
      <c r="K84" s="25"/>
      <c r="L84" s="25"/>
      <c r="M84" s="25"/>
      <c r="N84" s="25"/>
      <c r="O84" s="25"/>
      <c r="P84" s="25"/>
      <c r="Q84" s="25"/>
      <c r="R84" s="25"/>
      <c r="S84" s="25"/>
      <c r="T84" s="25"/>
      <c r="U84" s="40"/>
      <c r="V84" s="40"/>
      <c r="W84" s="40"/>
      <c r="X84" s="40"/>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row>
    <row r="85" spans="1:56" ht="14.85" customHeight="1" thickBot="1" x14ac:dyDescent="0.3">
      <c r="A85" s="25"/>
      <c r="B85" s="25"/>
      <c r="C85" s="50"/>
      <c r="D85" s="50"/>
      <c r="E85" s="50"/>
      <c r="F85" s="50"/>
      <c r="G85" s="25"/>
      <c r="H85" s="25"/>
      <c r="I85" s="25"/>
      <c r="J85" s="25"/>
      <c r="K85" s="25"/>
      <c r="L85" s="25"/>
      <c r="M85" s="25"/>
      <c r="N85" s="25"/>
      <c r="O85" s="25"/>
      <c r="P85" s="25"/>
      <c r="Q85" s="25"/>
      <c r="R85" s="25"/>
      <c r="S85" s="25"/>
      <c r="T85" s="25"/>
      <c r="U85" s="40"/>
      <c r="V85" s="40"/>
      <c r="W85" s="40"/>
      <c r="X85" s="40"/>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row>
    <row r="86" spans="1:56" ht="30" x14ac:dyDescent="0.25">
      <c r="A86" s="68"/>
      <c r="B86" s="68"/>
      <c r="C86" s="71" t="s">
        <v>159</v>
      </c>
      <c r="D86" s="30" t="s">
        <v>288</v>
      </c>
      <c r="E86" s="368" t="s">
        <v>290</v>
      </c>
      <c r="F86" s="471" t="s">
        <v>314</v>
      </c>
      <c r="G86" s="472"/>
      <c r="H86" s="369" t="s">
        <v>307</v>
      </c>
      <c r="I86" s="471" t="s">
        <v>309</v>
      </c>
      <c r="J86" s="494"/>
      <c r="K86" s="25"/>
      <c r="L86" s="25"/>
      <c r="M86" s="25"/>
      <c r="N86" s="25"/>
      <c r="O86" s="25"/>
      <c r="P86" s="25"/>
      <c r="Q86" s="25"/>
      <c r="R86" s="25"/>
      <c r="S86" s="25"/>
      <c r="T86" s="25"/>
      <c r="U86" s="40"/>
      <c r="V86" s="40"/>
      <c r="W86" s="40"/>
      <c r="X86" s="40"/>
      <c r="Y86" s="40"/>
      <c r="Z86" s="40"/>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row>
    <row r="87" spans="1:56" ht="15.75" thickBot="1" x14ac:dyDescent="0.3">
      <c r="A87" s="25"/>
      <c r="B87" s="25"/>
      <c r="C87" s="27"/>
      <c r="D87" s="72" t="s">
        <v>312</v>
      </c>
      <c r="E87" s="370" t="s">
        <v>313</v>
      </c>
      <c r="F87" s="473" t="s">
        <v>293</v>
      </c>
      <c r="G87" s="474"/>
      <c r="H87" s="371" t="s">
        <v>313</v>
      </c>
      <c r="I87" s="473" t="s">
        <v>313</v>
      </c>
      <c r="J87" s="495"/>
      <c r="K87" s="25"/>
      <c r="L87" s="25"/>
      <c r="M87" s="25"/>
      <c r="N87" s="25"/>
      <c r="O87" s="25"/>
      <c r="P87" s="25"/>
      <c r="Q87" s="25"/>
      <c r="R87" s="25"/>
      <c r="S87" s="25"/>
      <c r="T87" s="25"/>
      <c r="U87" s="40"/>
      <c r="V87" s="40"/>
      <c r="W87" s="40"/>
      <c r="X87" s="40"/>
      <c r="Y87" s="40"/>
      <c r="Z87" s="40"/>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row>
    <row r="88" spans="1:56" x14ac:dyDescent="0.25">
      <c r="A88" s="25"/>
      <c r="B88" s="25"/>
      <c r="C88" s="52" t="str">
        <f>IF('Conservation grazing tool'!C20="Please select"," ",'Conservation grazing tool'!C20)</f>
        <v>Calcareous Grassland</v>
      </c>
      <c r="D88" s="53">
        <f>IF(C88= " ", " ",'Conservation grazing tool'!D20)</f>
        <v>0</v>
      </c>
      <c r="E88" s="366">
        <f>IF(C88=" "," ",'Habitat carbon storage calcs'!D8)</f>
        <v>0</v>
      </c>
      <c r="F88" s="491" t="str">
        <f>IF(C88=" "," ",INDEX('Habitat assumptions'!$O$7:$O$14,MATCH('Habitat carbon storage calcs'!A8,'Habitat assumptions'!$B$7:$B$14,0)))</f>
        <v>0 - 0.15</v>
      </c>
      <c r="G88" s="491"/>
      <c r="H88" s="367" t="str">
        <f>IF(C88=" "," ",'Habitat carbon storage calcs'!F8)</f>
        <v>No data</v>
      </c>
      <c r="I88" s="496">
        <f>IF(C88=" "," ",'Habitat carbon storage calcs'!G8)</f>
        <v>0</v>
      </c>
      <c r="J88" s="497"/>
      <c r="K88" s="25"/>
      <c r="L88" s="25"/>
      <c r="M88" s="25"/>
      <c r="N88" s="25"/>
      <c r="O88" s="25"/>
      <c r="P88" s="25"/>
      <c r="Q88" s="25"/>
      <c r="R88" s="25"/>
      <c r="S88" s="25"/>
      <c r="T88" s="25"/>
      <c r="U88" s="40"/>
      <c r="V88" s="40"/>
      <c r="W88" s="40"/>
      <c r="X88" s="40"/>
      <c r="Y88" s="40"/>
      <c r="Z88" s="40"/>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row>
    <row r="89" spans="1:56" s="25" customFormat="1" x14ac:dyDescent="0.25">
      <c r="C89" s="54" t="str">
        <f>IF('Conservation grazing tool'!C21="Please select"," ",'Conservation grazing tool'!C21)</f>
        <v xml:space="preserve"> </v>
      </c>
      <c r="D89" s="55" t="str">
        <f>IF(C89= " ", " ",'Conservation grazing tool'!D21)</f>
        <v xml:space="preserve"> </v>
      </c>
      <c r="E89" s="289" t="str">
        <f>IF(C89=" "," ",'Habitat carbon storage calcs'!D9)</f>
        <v xml:space="preserve"> </v>
      </c>
      <c r="F89" s="492" t="str">
        <f>IF(C89=" "," ",INDEX('Habitat assumptions'!$O$7:$O$14,MATCH('Habitat carbon storage calcs'!A9,'Habitat assumptions'!$B$7:$B$14,0)))</f>
        <v xml:space="preserve"> </v>
      </c>
      <c r="G89" s="492"/>
      <c r="H89" s="81" t="str">
        <f>IF(C89=" "," ",'Habitat carbon storage calcs'!F9)</f>
        <v xml:space="preserve"> </v>
      </c>
      <c r="I89" s="498" t="str">
        <f>IF(C89=" "," ",'Habitat carbon storage calcs'!G9)</f>
        <v xml:space="preserve"> </v>
      </c>
      <c r="J89" s="499"/>
      <c r="U89" s="40"/>
      <c r="V89" s="40"/>
      <c r="W89" s="40"/>
      <c r="X89" s="40"/>
      <c r="Y89" s="40"/>
      <c r="Z89" s="40"/>
    </row>
    <row r="90" spans="1:56" s="25" customFormat="1" ht="15.75" thickBot="1" x14ac:dyDescent="0.3">
      <c r="C90" s="56" t="str">
        <f>IF('Conservation grazing tool'!C22="Please select"," ",'Conservation grazing tool'!C22)</f>
        <v xml:space="preserve"> </v>
      </c>
      <c r="D90" s="57" t="str">
        <f>IF(C90= " ", " ",'Conservation grazing tool'!D22)</f>
        <v xml:space="preserve"> </v>
      </c>
      <c r="E90" s="373" t="str">
        <f>IF(C90=" "," ",'Habitat carbon storage calcs'!D10)</f>
        <v xml:space="preserve"> </v>
      </c>
      <c r="F90" s="493" t="str">
        <f>IF(C90=" "," ",INDEX('Habitat assumptions'!$O$7:$O$14,MATCH('Habitat carbon storage calcs'!A10,'Habitat assumptions'!$B$7:$B$14,0)))</f>
        <v xml:space="preserve"> </v>
      </c>
      <c r="G90" s="493"/>
      <c r="H90" s="372" t="str">
        <f>IF(C90=" "," ",'Habitat carbon storage calcs'!F10)</f>
        <v xml:space="preserve"> </v>
      </c>
      <c r="I90" s="500" t="str">
        <f>IF(C90=" "," ",'Habitat carbon storage calcs'!G10)</f>
        <v xml:space="preserve"> </v>
      </c>
      <c r="J90" s="501"/>
      <c r="U90" s="40"/>
      <c r="V90" s="40"/>
      <c r="W90" s="40"/>
      <c r="X90" s="40"/>
      <c r="Y90" s="40"/>
      <c r="Z90" s="40"/>
    </row>
    <row r="91" spans="1:56" s="25" customFormat="1" ht="15.75" thickBot="1" x14ac:dyDescent="0.3">
      <c r="C91" s="73" t="str">
        <f>IF('Conservation grazing tool'!C23="Please select"," ",'Conservation grazing tool'!C23)</f>
        <v>Total</v>
      </c>
      <c r="D91" s="74" t="str">
        <f>'Conservation grazing tool'!D23</f>
        <v/>
      </c>
      <c r="E91" s="69">
        <f>IF(C91=" "," ",'Habitat carbon storage calcs'!D11)</f>
        <v>0</v>
      </c>
      <c r="F91" s="374"/>
      <c r="G91" s="375"/>
      <c r="H91" s="311">
        <f>IF(C91=" "," ",'Habitat carbon storage calcs'!F11)</f>
        <v>0</v>
      </c>
      <c r="I91" s="489">
        <f>IF(C91=" "," ",'Habitat carbon storage calcs'!G11)</f>
        <v>0</v>
      </c>
      <c r="J91" s="490"/>
      <c r="U91" s="40"/>
      <c r="V91" s="40"/>
      <c r="W91" s="40"/>
      <c r="X91" s="40"/>
      <c r="Y91" s="40"/>
      <c r="Z91" s="40"/>
    </row>
    <row r="92" spans="1:56" s="25" customFormat="1" x14ac:dyDescent="0.25">
      <c r="E92" s="60"/>
      <c r="J92" s="61"/>
      <c r="U92" s="40"/>
      <c r="V92" s="40"/>
      <c r="W92" s="40"/>
      <c r="X92" s="40"/>
      <c r="Y92" s="40"/>
      <c r="Z92" s="40"/>
    </row>
    <row r="93" spans="1:56" s="25" customFormat="1" x14ac:dyDescent="0.25">
      <c r="E93" s="60"/>
      <c r="J93" s="61"/>
      <c r="U93" s="40"/>
      <c r="V93" s="40"/>
      <c r="W93" s="40"/>
      <c r="X93" s="40"/>
      <c r="Y93" s="40"/>
      <c r="Z93" s="40"/>
    </row>
    <row r="94" spans="1:56" s="25" customFormat="1" x14ac:dyDescent="0.25">
      <c r="E94" s="60"/>
      <c r="J94" s="61"/>
      <c r="U94" s="40"/>
      <c r="V94" s="40"/>
      <c r="W94" s="40"/>
      <c r="X94" s="40"/>
      <c r="Y94" s="40"/>
      <c r="Z94" s="40"/>
    </row>
    <row r="95" spans="1:56" s="25" customFormat="1" x14ac:dyDescent="0.25">
      <c r="E95" s="60"/>
      <c r="J95" s="61"/>
      <c r="U95" s="40"/>
      <c r="V95" s="40"/>
      <c r="W95" s="40"/>
      <c r="X95" s="40"/>
      <c r="Y95" s="40"/>
      <c r="Z95" s="40"/>
    </row>
    <row r="96" spans="1:56" s="25" customFormat="1" x14ac:dyDescent="0.25">
      <c r="E96" s="60"/>
      <c r="J96" s="61"/>
      <c r="U96" s="40"/>
      <c r="V96" s="40"/>
      <c r="W96" s="40"/>
      <c r="X96" s="40"/>
      <c r="Y96" s="40"/>
      <c r="Z96" s="40"/>
    </row>
    <row r="97" spans="5:26" s="25" customFormat="1" x14ac:dyDescent="0.25">
      <c r="E97" s="60"/>
      <c r="J97" s="61"/>
      <c r="U97" s="40"/>
      <c r="V97" s="40"/>
      <c r="W97" s="40"/>
      <c r="X97" s="40"/>
      <c r="Y97" s="40"/>
      <c r="Z97" s="40"/>
    </row>
    <row r="98" spans="5:26" s="25" customFormat="1" x14ac:dyDescent="0.25">
      <c r="E98" s="60"/>
      <c r="J98" s="61"/>
      <c r="U98" s="40"/>
      <c r="V98" s="40"/>
      <c r="W98" s="40"/>
      <c r="X98" s="40"/>
      <c r="Y98" s="40"/>
      <c r="Z98" s="40"/>
    </row>
    <row r="99" spans="5:26" s="25" customFormat="1" x14ac:dyDescent="0.25">
      <c r="E99" s="60"/>
      <c r="J99" s="61"/>
      <c r="U99" s="40"/>
      <c r="V99" s="40"/>
      <c r="W99" s="40"/>
      <c r="X99" s="40"/>
      <c r="Y99" s="40"/>
      <c r="Z99" s="40"/>
    </row>
    <row r="100" spans="5:26" s="25" customFormat="1" x14ac:dyDescent="0.25">
      <c r="E100" s="60"/>
      <c r="J100" s="61"/>
      <c r="U100" s="40"/>
      <c r="V100" s="40"/>
      <c r="W100" s="40"/>
      <c r="X100" s="40"/>
      <c r="Y100" s="40"/>
      <c r="Z100" s="40"/>
    </row>
    <row r="101" spans="5:26" s="25" customFormat="1" x14ac:dyDescent="0.25">
      <c r="E101" s="60"/>
      <c r="J101" s="61"/>
      <c r="U101" s="40"/>
      <c r="V101" s="40"/>
      <c r="W101" s="40"/>
      <c r="X101" s="40"/>
      <c r="Y101" s="40"/>
      <c r="Z101" s="40"/>
    </row>
    <row r="102" spans="5:26" s="25" customFormat="1" x14ac:dyDescent="0.25">
      <c r="E102" s="60"/>
      <c r="J102" s="61"/>
      <c r="U102" s="40"/>
      <c r="V102" s="40"/>
      <c r="W102" s="40"/>
      <c r="X102" s="40"/>
      <c r="Y102" s="40"/>
      <c r="Z102" s="40"/>
    </row>
    <row r="103" spans="5:26" s="25" customFormat="1" x14ac:dyDescent="0.25">
      <c r="E103" s="60"/>
      <c r="J103" s="61"/>
      <c r="U103" s="40"/>
      <c r="V103" s="40"/>
      <c r="W103" s="40"/>
      <c r="X103" s="40"/>
      <c r="Y103" s="40"/>
      <c r="Z103" s="40"/>
    </row>
    <row r="104" spans="5:26" s="25" customFormat="1" x14ac:dyDescent="0.25">
      <c r="E104" s="60"/>
      <c r="J104" s="61"/>
      <c r="U104" s="40"/>
      <c r="V104" s="40"/>
      <c r="W104" s="40"/>
      <c r="X104" s="40"/>
      <c r="Y104" s="40"/>
      <c r="Z104" s="40"/>
    </row>
    <row r="105" spans="5:26" s="25" customFormat="1" x14ac:dyDescent="0.25">
      <c r="E105" s="60"/>
      <c r="J105" s="61"/>
      <c r="U105" s="40"/>
      <c r="V105" s="40"/>
      <c r="W105" s="40"/>
      <c r="X105" s="40"/>
      <c r="Y105" s="40"/>
      <c r="Z105" s="40"/>
    </row>
    <row r="106" spans="5:26" s="25" customFormat="1" x14ac:dyDescent="0.25">
      <c r="E106" s="60"/>
      <c r="J106" s="61"/>
      <c r="U106" s="40"/>
      <c r="V106" s="40"/>
      <c r="W106" s="40"/>
      <c r="X106" s="40"/>
      <c r="Y106" s="40"/>
      <c r="Z106" s="40"/>
    </row>
    <row r="107" spans="5:26" s="25" customFormat="1" x14ac:dyDescent="0.25">
      <c r="E107" s="60"/>
      <c r="J107" s="61"/>
      <c r="U107" s="40"/>
      <c r="V107" s="40"/>
      <c r="W107" s="40"/>
      <c r="X107" s="40"/>
      <c r="Y107" s="40"/>
      <c r="Z107" s="40"/>
    </row>
    <row r="108" spans="5:26" s="25" customFormat="1" ht="15.75" thickBot="1" x14ac:dyDescent="0.3">
      <c r="E108" s="63"/>
      <c r="F108" s="64"/>
      <c r="G108" s="64"/>
      <c r="H108" s="64"/>
      <c r="I108" s="64"/>
      <c r="J108" s="65"/>
      <c r="U108" s="40"/>
      <c r="V108" s="40"/>
      <c r="W108" s="40"/>
      <c r="X108" s="40"/>
      <c r="Y108" s="40"/>
      <c r="Z108" s="40"/>
    </row>
    <row r="109" spans="5:26" s="25" customFormat="1" x14ac:dyDescent="0.25">
      <c r="U109" s="40"/>
      <c r="V109" s="40"/>
      <c r="W109" s="40"/>
      <c r="X109" s="40"/>
      <c r="Y109" s="40"/>
      <c r="Z109" s="40"/>
    </row>
    <row r="110" spans="5:26" s="25" customFormat="1" x14ac:dyDescent="0.25">
      <c r="U110" s="40"/>
      <c r="V110" s="40"/>
      <c r="W110" s="40"/>
      <c r="X110" s="40"/>
      <c r="Y110" s="40"/>
      <c r="Z110" s="40"/>
    </row>
    <row r="111" spans="5:26" s="25" customFormat="1" x14ac:dyDescent="0.25">
      <c r="U111" s="40"/>
      <c r="V111" s="40"/>
      <c r="W111" s="40"/>
      <c r="X111" s="40"/>
      <c r="Y111" s="40"/>
      <c r="Z111" s="40"/>
    </row>
    <row r="112" spans="5:26" s="25" customFormat="1" x14ac:dyDescent="0.25">
      <c r="S112" s="40"/>
      <c r="T112" s="40"/>
      <c r="U112" s="40"/>
      <c r="V112" s="40"/>
      <c r="W112" s="40"/>
      <c r="X112" s="40"/>
      <c r="Y112" s="40"/>
      <c r="Z112" s="40"/>
    </row>
    <row r="113" spans="18:26" s="25" customFormat="1" x14ac:dyDescent="0.25">
      <c r="R113" s="29"/>
      <c r="S113" s="40"/>
      <c r="T113" s="40"/>
      <c r="U113" s="40"/>
      <c r="V113" s="40"/>
      <c r="W113" s="40"/>
      <c r="X113" s="40"/>
      <c r="Y113" s="40"/>
      <c r="Z113" s="40"/>
    </row>
    <row r="114" spans="18:26" s="25" customFormat="1" x14ac:dyDescent="0.25">
      <c r="R114" s="29"/>
      <c r="S114" s="40"/>
      <c r="T114" s="40"/>
      <c r="U114" s="40"/>
      <c r="V114" s="40"/>
      <c r="W114" s="40"/>
      <c r="X114" s="40"/>
    </row>
    <row r="115" spans="18:26" s="25" customFormat="1" x14ac:dyDescent="0.25">
      <c r="R115" s="29"/>
      <c r="S115" s="40"/>
      <c r="T115" s="40"/>
      <c r="U115" s="40"/>
      <c r="V115" s="40"/>
      <c r="W115" s="40"/>
      <c r="X115" s="40"/>
    </row>
    <row r="116" spans="18:26" s="25" customFormat="1" x14ac:dyDescent="0.25">
      <c r="R116" s="29"/>
      <c r="S116" s="40"/>
      <c r="T116" s="40"/>
      <c r="U116" s="40"/>
      <c r="V116" s="40"/>
      <c r="W116" s="40"/>
      <c r="X116" s="40"/>
    </row>
    <row r="117" spans="18:26" s="25" customFormat="1" x14ac:dyDescent="0.25">
      <c r="R117" s="29"/>
      <c r="S117" s="40"/>
      <c r="T117" s="40"/>
      <c r="U117" s="40"/>
      <c r="V117" s="40"/>
      <c r="W117" s="40"/>
      <c r="X117" s="40"/>
    </row>
    <row r="118" spans="18:26" s="25" customFormat="1" x14ac:dyDescent="0.25">
      <c r="R118" s="29"/>
      <c r="S118" s="75"/>
      <c r="T118" s="75"/>
      <c r="U118" s="75"/>
      <c r="V118" s="75"/>
      <c r="W118" s="40"/>
      <c r="X118" s="40"/>
    </row>
    <row r="119" spans="18:26" s="25" customFormat="1" x14ac:dyDescent="0.25">
      <c r="R119" s="29"/>
      <c r="S119" s="75"/>
      <c r="T119" s="75"/>
      <c r="U119" s="75"/>
      <c r="V119" s="75"/>
      <c r="W119" s="75"/>
      <c r="X119" s="75"/>
    </row>
    <row r="120" spans="18:26" s="25" customFormat="1" x14ac:dyDescent="0.25">
      <c r="R120" s="29"/>
      <c r="S120" s="75"/>
      <c r="T120" s="75"/>
      <c r="U120" s="75"/>
      <c r="V120" s="75"/>
      <c r="W120" s="75"/>
      <c r="X120" s="75"/>
    </row>
    <row r="121" spans="18:26" s="25" customFormat="1" x14ac:dyDescent="0.25">
      <c r="R121" s="29"/>
      <c r="S121" s="75"/>
      <c r="T121" s="75"/>
      <c r="U121" s="75"/>
      <c r="V121" s="75"/>
      <c r="W121" s="75"/>
      <c r="X121" s="75"/>
    </row>
    <row r="122" spans="18:26" s="25" customFormat="1" x14ac:dyDescent="0.25">
      <c r="R122" s="29"/>
      <c r="S122" s="75"/>
      <c r="T122" s="75"/>
      <c r="U122" s="75"/>
      <c r="V122" s="75"/>
      <c r="W122" s="75"/>
      <c r="X122" s="75"/>
    </row>
    <row r="123" spans="18:26" s="25" customFormat="1" x14ac:dyDescent="0.25">
      <c r="R123" s="29"/>
      <c r="S123" s="75"/>
      <c r="T123" s="75"/>
      <c r="U123" s="75"/>
      <c r="V123" s="75"/>
      <c r="W123" s="75"/>
      <c r="X123" s="75"/>
    </row>
    <row r="124" spans="18:26" s="25" customFormat="1" x14ac:dyDescent="0.25">
      <c r="R124" s="29"/>
      <c r="S124" s="75"/>
      <c r="T124" s="75"/>
      <c r="U124" s="75"/>
      <c r="V124" s="75"/>
      <c r="W124" s="75"/>
      <c r="X124" s="75"/>
    </row>
    <row r="125" spans="18:26" s="25" customFormat="1" x14ac:dyDescent="0.25">
      <c r="R125" s="29"/>
      <c r="S125" s="75"/>
      <c r="T125" s="75"/>
      <c r="U125" s="75"/>
      <c r="V125" s="75"/>
      <c r="W125" s="75"/>
      <c r="X125" s="75"/>
    </row>
    <row r="126" spans="18:26" s="25" customFormat="1" x14ac:dyDescent="0.25">
      <c r="R126" s="29"/>
      <c r="S126" s="75"/>
      <c r="T126" s="75"/>
      <c r="U126" s="75"/>
      <c r="V126" s="75"/>
      <c r="W126" s="75"/>
      <c r="X126" s="75"/>
    </row>
    <row r="127" spans="18:26" s="25" customFormat="1" x14ac:dyDescent="0.25">
      <c r="R127" s="29"/>
      <c r="S127" s="75"/>
      <c r="T127" s="75"/>
      <c r="U127" s="75"/>
      <c r="V127" s="75"/>
      <c r="W127" s="75"/>
      <c r="X127" s="75"/>
    </row>
    <row r="128" spans="18:26" s="25" customFormat="1" x14ac:dyDescent="0.25">
      <c r="R128" s="29"/>
      <c r="S128" s="75"/>
      <c r="T128" s="75"/>
      <c r="U128" s="75"/>
      <c r="V128" s="75"/>
      <c r="W128" s="75"/>
      <c r="X128" s="75"/>
    </row>
    <row r="129" spans="18:26" s="25" customFormat="1" x14ac:dyDescent="0.25">
      <c r="R129" s="29"/>
      <c r="S129" s="75"/>
      <c r="T129" s="75"/>
      <c r="U129" s="75"/>
      <c r="V129" s="75"/>
      <c r="W129" s="75"/>
      <c r="X129" s="75"/>
    </row>
    <row r="130" spans="18:26" s="25" customFormat="1" x14ac:dyDescent="0.25">
      <c r="R130" s="29"/>
      <c r="S130" s="75"/>
      <c r="T130" s="75"/>
      <c r="U130" s="75"/>
      <c r="V130" s="75"/>
      <c r="W130" s="75"/>
      <c r="X130" s="75"/>
    </row>
    <row r="131" spans="18:26" s="25" customFormat="1" x14ac:dyDescent="0.25">
      <c r="R131" s="29"/>
      <c r="S131" s="75"/>
      <c r="T131" s="75"/>
      <c r="U131" s="75"/>
      <c r="V131" s="75"/>
      <c r="W131" s="75"/>
      <c r="X131" s="75"/>
    </row>
    <row r="132" spans="18:26" s="25" customFormat="1" x14ac:dyDescent="0.25">
      <c r="R132" s="29"/>
      <c r="S132" s="75"/>
      <c r="T132" s="75"/>
      <c r="U132" s="75"/>
      <c r="V132" s="75"/>
      <c r="W132" s="75"/>
      <c r="X132" s="75"/>
    </row>
    <row r="133" spans="18:26" s="25" customFormat="1" x14ac:dyDescent="0.25">
      <c r="R133" s="29"/>
      <c r="S133" s="75"/>
      <c r="T133" s="75"/>
      <c r="U133" s="75"/>
      <c r="V133" s="75"/>
      <c r="W133" s="75"/>
      <c r="X133" s="75"/>
    </row>
    <row r="134" spans="18:26" s="25" customFormat="1" x14ac:dyDescent="0.25">
      <c r="R134" s="29"/>
      <c r="S134" s="75"/>
      <c r="T134" s="75"/>
      <c r="U134" s="75"/>
      <c r="V134" s="75"/>
      <c r="W134" s="75"/>
      <c r="X134" s="75"/>
    </row>
    <row r="135" spans="18:26" s="25" customFormat="1" x14ac:dyDescent="0.25">
      <c r="R135" s="29"/>
      <c r="S135" s="75"/>
      <c r="T135" s="75"/>
      <c r="U135" s="75"/>
      <c r="V135" s="75"/>
      <c r="W135" s="75"/>
      <c r="X135" s="75"/>
    </row>
    <row r="136" spans="18:26" s="25" customFormat="1" x14ac:dyDescent="0.25">
      <c r="R136" s="29"/>
      <c r="S136" s="75"/>
      <c r="T136" s="75"/>
      <c r="U136" s="75"/>
      <c r="V136" s="75"/>
      <c r="W136" s="75"/>
      <c r="X136" s="75"/>
    </row>
    <row r="137" spans="18:26" s="25" customFormat="1" x14ac:dyDescent="0.25">
      <c r="R137" s="29"/>
      <c r="S137" s="75"/>
      <c r="T137" s="75"/>
      <c r="U137" s="75"/>
      <c r="V137" s="75"/>
      <c r="W137" s="75"/>
      <c r="X137" s="75"/>
    </row>
    <row r="138" spans="18:26" s="25" customFormat="1" x14ac:dyDescent="0.25">
      <c r="R138" s="29"/>
      <c r="S138" s="75"/>
      <c r="T138" s="75"/>
      <c r="U138" s="75"/>
      <c r="V138" s="75"/>
      <c r="W138" s="75"/>
      <c r="X138" s="75"/>
    </row>
    <row r="139" spans="18:26" s="25" customFormat="1" x14ac:dyDescent="0.25">
      <c r="R139" s="29"/>
      <c r="S139" s="75"/>
      <c r="T139" s="75"/>
      <c r="U139" s="75"/>
      <c r="V139" s="75"/>
      <c r="W139" s="75"/>
      <c r="X139" s="75"/>
    </row>
    <row r="140" spans="18:26" s="25" customFormat="1" x14ac:dyDescent="0.25">
      <c r="R140" s="29"/>
      <c r="S140" s="75"/>
      <c r="T140" s="75"/>
      <c r="U140" s="75"/>
      <c r="V140" s="75"/>
      <c r="W140" s="75"/>
      <c r="X140" s="75"/>
    </row>
    <row r="141" spans="18:26" s="25" customFormat="1" x14ac:dyDescent="0.25">
      <c r="R141" s="29"/>
      <c r="S141" s="75"/>
      <c r="T141" s="75"/>
      <c r="U141" s="75"/>
      <c r="V141" s="75"/>
      <c r="W141" s="75"/>
      <c r="X141" s="75"/>
    </row>
    <row r="142" spans="18:26" s="25" customFormat="1" x14ac:dyDescent="0.25">
      <c r="R142" s="29"/>
      <c r="S142" s="75"/>
      <c r="T142" s="75"/>
      <c r="U142" s="75"/>
      <c r="V142" s="75"/>
      <c r="W142" s="75"/>
      <c r="X142" s="75"/>
    </row>
    <row r="143" spans="18:26" s="25" customFormat="1" x14ac:dyDescent="0.25">
      <c r="R143" s="29"/>
      <c r="S143" s="75"/>
      <c r="T143" s="75"/>
      <c r="U143" s="75"/>
      <c r="V143" s="75"/>
      <c r="W143" s="75"/>
      <c r="X143" s="75"/>
    </row>
    <row r="144" spans="18:26" s="25" customFormat="1" x14ac:dyDescent="0.25">
      <c r="R144" s="29"/>
      <c r="S144" s="75"/>
      <c r="T144" s="75"/>
      <c r="U144" s="75"/>
      <c r="V144" s="75"/>
      <c r="W144" s="75"/>
      <c r="X144" s="75"/>
      <c r="Z144" s="29"/>
    </row>
    <row r="145" spans="18:26" s="25" customFormat="1" x14ac:dyDescent="0.25">
      <c r="R145" s="29"/>
      <c r="S145" s="75"/>
      <c r="T145" s="75"/>
      <c r="U145" s="75"/>
      <c r="V145" s="75"/>
      <c r="W145" s="75"/>
      <c r="X145" s="75"/>
      <c r="Z145" s="29"/>
    </row>
    <row r="146" spans="18:26" s="25" customFormat="1" x14ac:dyDescent="0.25">
      <c r="R146" s="29"/>
      <c r="S146" s="75"/>
      <c r="T146" s="75"/>
      <c r="U146" s="75"/>
      <c r="V146" s="75"/>
      <c r="W146" s="75"/>
      <c r="X146" s="75"/>
      <c r="Z146" s="29"/>
    </row>
    <row r="147" spans="18:26" s="25" customFormat="1" x14ac:dyDescent="0.25">
      <c r="R147" s="29"/>
      <c r="S147" s="75"/>
      <c r="T147" s="75"/>
      <c r="U147" s="75"/>
      <c r="V147" s="75"/>
      <c r="W147" s="75"/>
      <c r="X147" s="75"/>
      <c r="Z147" s="29"/>
    </row>
    <row r="148" spans="18:26" s="25" customFormat="1" x14ac:dyDescent="0.25">
      <c r="R148" s="29"/>
      <c r="S148" s="75"/>
      <c r="T148" s="75"/>
      <c r="U148" s="75"/>
      <c r="V148" s="75"/>
      <c r="W148" s="75"/>
      <c r="X148" s="75"/>
      <c r="Z148" s="29"/>
    </row>
    <row r="149" spans="18:26" s="25" customFormat="1" x14ac:dyDescent="0.25">
      <c r="R149" s="29"/>
      <c r="S149" s="75"/>
      <c r="T149" s="75"/>
      <c r="U149" s="75"/>
      <c r="V149" s="75"/>
      <c r="W149" s="75"/>
      <c r="X149" s="75"/>
      <c r="Z149" s="29"/>
    </row>
    <row r="150" spans="18:26" s="25" customFormat="1" x14ac:dyDescent="0.25">
      <c r="R150" s="29"/>
      <c r="S150" s="75"/>
      <c r="T150" s="75"/>
      <c r="U150" s="75"/>
      <c r="V150" s="75"/>
      <c r="W150" s="75"/>
      <c r="X150" s="75"/>
      <c r="Z150" s="29"/>
    </row>
    <row r="151" spans="18:26" s="25" customFormat="1" x14ac:dyDescent="0.25">
      <c r="R151" s="29"/>
      <c r="S151" s="75"/>
      <c r="T151" s="75"/>
      <c r="U151" s="75"/>
      <c r="V151" s="75"/>
      <c r="W151" s="75"/>
      <c r="X151" s="75"/>
      <c r="Z151" s="29"/>
    </row>
    <row r="152" spans="18:26" s="25" customFormat="1" x14ac:dyDescent="0.25">
      <c r="R152" s="29"/>
      <c r="S152" s="75"/>
      <c r="T152" s="75"/>
      <c r="U152" s="75"/>
      <c r="V152" s="75"/>
      <c r="W152" s="75"/>
      <c r="X152" s="75"/>
      <c r="Y152" s="29"/>
      <c r="Z152" s="29"/>
    </row>
    <row r="153" spans="18:26" s="25" customFormat="1" x14ac:dyDescent="0.25">
      <c r="R153" s="29"/>
      <c r="S153" s="75"/>
      <c r="T153" s="75"/>
      <c r="U153" s="75"/>
      <c r="V153" s="75"/>
      <c r="W153" s="75"/>
      <c r="X153" s="75"/>
      <c r="Y153" s="29"/>
      <c r="Z153" s="29"/>
    </row>
    <row r="154" spans="18:26" s="25" customFormat="1" x14ac:dyDescent="0.25">
      <c r="R154" s="29"/>
      <c r="S154" s="75"/>
      <c r="T154" s="75"/>
      <c r="U154" s="75"/>
      <c r="V154" s="75"/>
      <c r="W154" s="75"/>
      <c r="X154" s="75"/>
      <c r="Y154" s="29"/>
      <c r="Z154" s="29"/>
    </row>
    <row r="155" spans="18:26" s="25" customFormat="1" x14ac:dyDescent="0.25">
      <c r="R155" s="29"/>
      <c r="S155" s="75"/>
      <c r="T155" s="75"/>
      <c r="U155" s="75"/>
      <c r="V155" s="75"/>
      <c r="W155" s="75"/>
      <c r="X155" s="75"/>
      <c r="Y155" s="29"/>
      <c r="Z155" s="29"/>
    </row>
    <row r="156" spans="18:26" s="25" customFormat="1" x14ac:dyDescent="0.25">
      <c r="R156" s="29"/>
      <c r="S156" s="75"/>
      <c r="T156" s="75"/>
      <c r="U156" s="75"/>
      <c r="V156" s="75"/>
      <c r="W156" s="75"/>
      <c r="X156" s="75"/>
      <c r="Y156" s="29"/>
      <c r="Z156" s="29"/>
    </row>
    <row r="157" spans="18:26" s="25" customFormat="1" x14ac:dyDescent="0.25">
      <c r="R157" s="29"/>
      <c r="S157" s="75"/>
      <c r="T157" s="75"/>
      <c r="U157" s="75"/>
      <c r="V157" s="75"/>
      <c r="W157" s="75"/>
      <c r="X157" s="75"/>
      <c r="Y157" s="29"/>
      <c r="Z157" s="29"/>
    </row>
    <row r="158" spans="18:26" s="25" customFormat="1" x14ac:dyDescent="0.25">
      <c r="R158" s="29"/>
      <c r="S158" s="75"/>
      <c r="T158" s="75"/>
      <c r="U158" s="75"/>
      <c r="V158" s="75"/>
      <c r="W158" s="75"/>
      <c r="X158" s="75"/>
      <c r="Y158" s="29"/>
      <c r="Z158" s="29"/>
    </row>
    <row r="159" spans="18:26" s="25" customFormat="1" x14ac:dyDescent="0.25">
      <c r="R159" s="29"/>
      <c r="S159" s="75"/>
      <c r="T159" s="75"/>
      <c r="U159" s="75"/>
      <c r="V159" s="75"/>
      <c r="W159" s="75"/>
      <c r="X159" s="75"/>
      <c r="Y159" s="29"/>
      <c r="Z159" s="29"/>
    </row>
    <row r="160" spans="18:26" s="25" customFormat="1" x14ac:dyDescent="0.25">
      <c r="R160" s="29"/>
      <c r="S160" s="75"/>
      <c r="T160" s="75"/>
      <c r="U160" s="75"/>
      <c r="V160" s="75"/>
      <c r="W160" s="75"/>
      <c r="X160" s="75"/>
      <c r="Y160" s="29"/>
      <c r="Z160" s="29"/>
    </row>
    <row r="161" spans="1:26" s="25" customFormat="1" x14ac:dyDescent="0.25">
      <c r="R161" s="29"/>
      <c r="S161" s="75"/>
      <c r="T161" s="75"/>
      <c r="U161" s="75"/>
      <c r="V161" s="75"/>
      <c r="W161" s="75"/>
      <c r="X161" s="75"/>
      <c r="Y161" s="29"/>
      <c r="Z161" s="29"/>
    </row>
    <row r="162" spans="1:26" s="25" customFormat="1" x14ac:dyDescent="0.25">
      <c r="R162" s="29"/>
      <c r="S162" s="75"/>
      <c r="T162" s="75"/>
      <c r="U162" s="75"/>
      <c r="V162" s="75"/>
      <c r="W162" s="75"/>
      <c r="X162" s="75"/>
      <c r="Y162" s="29"/>
      <c r="Z162" s="29"/>
    </row>
    <row r="163" spans="1:26" s="25" customFormat="1" x14ac:dyDescent="0.25">
      <c r="R163" s="29"/>
      <c r="S163" s="75"/>
      <c r="T163" s="75"/>
      <c r="U163" s="75"/>
      <c r="V163" s="75"/>
      <c r="W163" s="75"/>
      <c r="X163" s="75"/>
      <c r="Y163" s="29"/>
      <c r="Z163" s="29"/>
    </row>
    <row r="164" spans="1:26" s="25" customFormat="1" x14ac:dyDescent="0.25">
      <c r="R164" s="29"/>
      <c r="S164" s="75"/>
      <c r="T164" s="75"/>
      <c r="U164" s="75"/>
      <c r="V164" s="75"/>
      <c r="W164" s="75"/>
      <c r="X164" s="75"/>
      <c r="Y164" s="29"/>
      <c r="Z164" s="29"/>
    </row>
    <row r="165" spans="1:26" s="25" customFormat="1" x14ac:dyDescent="0.25">
      <c r="R165" s="29"/>
      <c r="S165" s="75"/>
      <c r="T165" s="75"/>
      <c r="U165" s="75"/>
      <c r="V165" s="75"/>
      <c r="W165" s="75"/>
      <c r="X165" s="75"/>
      <c r="Y165" s="29"/>
      <c r="Z165" s="29"/>
    </row>
    <row r="166" spans="1:26" s="25" customFormat="1" x14ac:dyDescent="0.25">
      <c r="R166" s="29"/>
      <c r="S166" s="75"/>
      <c r="T166" s="75"/>
      <c r="U166" s="75"/>
      <c r="V166" s="75"/>
      <c r="W166" s="75"/>
      <c r="X166" s="75"/>
      <c r="Y166" s="29"/>
      <c r="Z166" s="29"/>
    </row>
    <row r="167" spans="1:26" s="25" customFormat="1" x14ac:dyDescent="0.25">
      <c r="R167" s="29"/>
      <c r="S167" s="75"/>
      <c r="T167" s="75"/>
      <c r="U167" s="75"/>
      <c r="V167" s="75"/>
      <c r="W167" s="75"/>
      <c r="X167" s="75"/>
      <c r="Y167" s="29"/>
      <c r="Z167" s="29"/>
    </row>
    <row r="168" spans="1:26" s="25" customFormat="1" x14ac:dyDescent="0.25">
      <c r="R168" s="29"/>
      <c r="S168" s="75"/>
      <c r="T168" s="75"/>
      <c r="U168" s="75"/>
      <c r="V168" s="75"/>
      <c r="W168" s="75"/>
      <c r="X168" s="75"/>
      <c r="Y168" s="29"/>
      <c r="Z168" s="29"/>
    </row>
    <row r="169" spans="1:26" s="25" customFormat="1" x14ac:dyDescent="0.25">
      <c r="R169" s="29"/>
      <c r="S169" s="75"/>
      <c r="T169" s="75"/>
      <c r="U169" s="75"/>
      <c r="V169" s="75"/>
      <c r="W169" s="75"/>
      <c r="X169" s="75"/>
      <c r="Y169" s="29"/>
      <c r="Z169" s="29"/>
    </row>
    <row r="170" spans="1:26" s="25" customFormat="1" x14ac:dyDescent="0.25">
      <c r="P170" s="29"/>
      <c r="R170" s="29"/>
      <c r="S170" s="75"/>
      <c r="T170" s="75"/>
      <c r="U170" s="75"/>
      <c r="V170" s="75"/>
      <c r="W170" s="75"/>
      <c r="X170" s="75"/>
      <c r="Y170" s="29"/>
      <c r="Z170" s="29"/>
    </row>
    <row r="171" spans="1:26" s="25" customFormat="1" x14ac:dyDescent="0.25">
      <c r="P171" s="29"/>
      <c r="Q171" s="29"/>
      <c r="R171" s="29"/>
      <c r="S171" s="75"/>
      <c r="T171" s="75"/>
      <c r="U171" s="75"/>
      <c r="V171" s="75"/>
      <c r="W171" s="75"/>
      <c r="X171" s="75"/>
      <c r="Y171" s="29"/>
      <c r="Z171" s="29"/>
    </row>
    <row r="172" spans="1:26" x14ac:dyDescent="0.25">
      <c r="A172" s="25"/>
      <c r="B172" s="25"/>
      <c r="C172" s="25"/>
      <c r="D172" s="25"/>
      <c r="E172" s="25"/>
      <c r="F172" s="25"/>
      <c r="G172" s="25"/>
      <c r="H172" s="25"/>
      <c r="I172" s="25"/>
      <c r="J172" s="25"/>
    </row>
    <row r="173" spans="1:26" x14ac:dyDescent="0.25">
      <c r="A173" s="25"/>
      <c r="B173" s="25"/>
      <c r="C173" s="25"/>
      <c r="D173" s="25"/>
      <c r="E173" s="25"/>
      <c r="F173" s="25"/>
      <c r="G173" s="25"/>
      <c r="H173" s="25"/>
    </row>
    <row r="174" spans="1:26" x14ac:dyDescent="0.25">
      <c r="A174" s="25"/>
      <c r="B174" s="25"/>
      <c r="C174" s="25"/>
      <c r="D174" s="25"/>
      <c r="E174" s="25"/>
      <c r="F174" s="25"/>
      <c r="G174" s="25"/>
      <c r="H174" s="25"/>
    </row>
    <row r="175" spans="1:26" x14ac:dyDescent="0.25">
      <c r="A175" s="25"/>
      <c r="B175" s="25"/>
    </row>
  </sheetData>
  <sheetProtection algorithmName="SHA-512" hashValue="GfL+eTd0mwYLFFpv0C/2RK5c6j0eteFKV/A6eucef8IGVXzCQxXb8muXsM28z1q5sbeY5QPzfFmHYyZJKyQzdQ==" saltValue="TY2ABxsFqwUQg+ecaPP9pQ==" spinCount="100000" sheet="1" objects="1" scenarios="1"/>
  <mergeCells count="53">
    <mergeCell ref="I91:J91"/>
    <mergeCell ref="F88:G88"/>
    <mergeCell ref="F89:G89"/>
    <mergeCell ref="F90:G90"/>
    <mergeCell ref="I86:J86"/>
    <mergeCell ref="I87:J87"/>
    <mergeCell ref="I88:J88"/>
    <mergeCell ref="I89:J89"/>
    <mergeCell ref="I90:J90"/>
    <mergeCell ref="K47:P47"/>
    <mergeCell ref="O48:O49"/>
    <mergeCell ref="P48:P49"/>
    <mergeCell ref="K52:P52"/>
    <mergeCell ref="K53:P53"/>
    <mergeCell ref="C50:D50"/>
    <mergeCell ref="C48:D49"/>
    <mergeCell ref="F86:G86"/>
    <mergeCell ref="F87:G87"/>
    <mergeCell ref="E47:J47"/>
    <mergeCell ref="E52:J52"/>
    <mergeCell ref="E53:J53"/>
    <mergeCell ref="J48:J49"/>
    <mergeCell ref="I48:I49"/>
    <mergeCell ref="E57:G57"/>
    <mergeCell ref="E58:G58"/>
    <mergeCell ref="H57:J57"/>
    <mergeCell ref="H58:J58"/>
    <mergeCell ref="E56:G56"/>
    <mergeCell ref="H56:J56"/>
    <mergeCell ref="E55:G55"/>
    <mergeCell ref="E54:G54"/>
    <mergeCell ref="H54:J54"/>
    <mergeCell ref="H55:J55"/>
    <mergeCell ref="K57:M57"/>
    <mergeCell ref="K58:M58"/>
    <mergeCell ref="K54:M54"/>
    <mergeCell ref="K55:M55"/>
    <mergeCell ref="K56:M56"/>
    <mergeCell ref="N54:P54"/>
    <mergeCell ref="N55:P55"/>
    <mergeCell ref="N56:P56"/>
    <mergeCell ref="N57:P57"/>
    <mergeCell ref="N58:P58"/>
    <mergeCell ref="C4:L5"/>
    <mergeCell ref="E15:F16"/>
    <mergeCell ref="G15:H16"/>
    <mergeCell ref="E17:F17"/>
    <mergeCell ref="I15:J16"/>
    <mergeCell ref="K15:L16"/>
    <mergeCell ref="G17:H17"/>
    <mergeCell ref="I17:J17"/>
    <mergeCell ref="K17:L17"/>
    <mergeCell ref="C12:F14"/>
  </mergeCells>
  <phoneticPr fontId="5" type="noConversion"/>
  <conditionalFormatting sqref="J50">
    <cfRule type="containsText" dxfId="9" priority="11" operator="containsText" text="Low">
      <formula>NOT(ISERROR(SEARCH("Low",J50)))</formula>
    </cfRule>
    <cfRule type="containsText" dxfId="8" priority="12" operator="containsText" text="Medium">
      <formula>NOT(ISERROR(SEARCH("Medium",J50)))</formula>
    </cfRule>
    <cfRule type="containsText" dxfId="7" priority="13" operator="containsText" text="High">
      <formula>NOT(ISERROR(SEARCH("High",J50)))</formula>
    </cfRule>
    <cfRule type="containsText" dxfId="6" priority="14" operator="containsText" text="Limit reached">
      <formula>NOT(ISERROR(SEARCH("Limit reached",J50)))</formula>
    </cfRule>
    <cfRule type="cellIs" dxfId="5" priority="15" operator="lessThan">
      <formula>0</formula>
    </cfRule>
  </conditionalFormatting>
  <conditionalFormatting sqref="P50">
    <cfRule type="containsText" dxfId="4" priority="1" operator="containsText" text="Low">
      <formula>NOT(ISERROR(SEARCH("Low",P50)))</formula>
    </cfRule>
    <cfRule type="containsText" dxfId="3" priority="2" operator="containsText" text="Medium">
      <formula>NOT(ISERROR(SEARCH("Medium",P50)))</formula>
    </cfRule>
    <cfRule type="containsText" dxfId="2" priority="3" operator="containsText" text="High">
      <formula>NOT(ISERROR(SEARCH("High",P50)))</formula>
    </cfRule>
    <cfRule type="containsText" dxfId="1" priority="4" operator="containsText" text="Limit reached">
      <formula>NOT(ISERROR(SEARCH("Limit reached",P50)))</formula>
    </cfRule>
    <cfRule type="cellIs" dxfId="0" priority="5" operator="lessThan">
      <formula>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BFF4F-CA56-46CE-8453-15D729887512}">
  <sheetPr>
    <tabColor theme="6"/>
  </sheetPr>
  <dimension ref="A1:CZ300"/>
  <sheetViews>
    <sheetView workbookViewId="0">
      <selection activeCell="D29" sqref="D29"/>
    </sheetView>
  </sheetViews>
  <sheetFormatPr defaultRowHeight="15" x14ac:dyDescent="0.25"/>
  <cols>
    <col min="3" max="3" width="32.85546875" customWidth="1"/>
    <col min="4" max="4" width="21.140625" customWidth="1"/>
    <col min="5" max="5" width="39.42578125" customWidth="1"/>
    <col min="6" max="11" width="20.5703125" customWidth="1"/>
    <col min="12" max="17" width="8.85546875" style="287"/>
    <col min="18" max="18" width="11.140625" style="287" customWidth="1"/>
    <col min="19" max="19" width="11" style="287" customWidth="1"/>
    <col min="20" max="104" width="8.85546875" style="287"/>
  </cols>
  <sheetData>
    <row r="1" spans="1:11" s="19" customFormat="1" x14ac:dyDescent="0.25"/>
    <row r="2" spans="1:11" s="19" customFormat="1" ht="26.25" x14ac:dyDescent="0.4">
      <c r="C2" s="20" t="s">
        <v>428</v>
      </c>
    </row>
    <row r="3" spans="1:11" s="19" customFormat="1" x14ac:dyDescent="0.25"/>
    <row r="4" spans="1:11" s="19" customFormat="1" ht="14.85" customHeight="1" x14ac:dyDescent="0.25">
      <c r="C4" s="414" t="s">
        <v>429</v>
      </c>
      <c r="D4" s="414"/>
      <c r="E4" s="414"/>
      <c r="F4" s="414"/>
      <c r="G4" s="414"/>
      <c r="H4" s="414"/>
    </row>
    <row r="5" spans="1:11" s="19" customFormat="1" x14ac:dyDescent="0.25">
      <c r="C5" s="414"/>
      <c r="D5" s="414"/>
      <c r="E5" s="414"/>
      <c r="F5" s="414"/>
      <c r="G5" s="414"/>
      <c r="H5" s="414"/>
    </row>
    <row r="6" spans="1:11" s="19" customFormat="1" x14ac:dyDescent="0.25">
      <c r="C6" s="21"/>
      <c r="D6" s="21"/>
      <c r="E6" s="21"/>
      <c r="F6" s="21"/>
      <c r="G6" s="21"/>
      <c r="H6" s="21"/>
    </row>
    <row r="7" spans="1:11" s="19" customFormat="1" x14ac:dyDescent="0.25">
      <c r="C7" s="22"/>
      <c r="D7" s="21"/>
      <c r="E7" s="21"/>
      <c r="F7" s="21"/>
      <c r="G7" s="21"/>
      <c r="H7" s="21"/>
    </row>
    <row r="8" spans="1:11" s="19" customFormat="1" x14ac:dyDescent="0.25">
      <c r="C8" s="23"/>
      <c r="D8" s="21"/>
      <c r="E8" s="21"/>
      <c r="F8" s="21"/>
      <c r="G8" s="21"/>
      <c r="H8" s="21"/>
    </row>
    <row r="9" spans="1:11" s="19" customFormat="1" x14ac:dyDescent="0.25">
      <c r="C9" s="24"/>
    </row>
    <row r="10" spans="1:11" s="19" customFormat="1" x14ac:dyDescent="0.25"/>
    <row r="11" spans="1:11" x14ac:dyDescent="0.25">
      <c r="A11" s="287"/>
      <c r="B11" s="287"/>
      <c r="C11" s="287"/>
      <c r="D11" s="287"/>
      <c r="E11" s="287"/>
      <c r="F11" s="287"/>
      <c r="G11" s="287"/>
      <c r="H11" s="287"/>
      <c r="I11" s="287"/>
      <c r="J11" s="287"/>
      <c r="K11" s="287"/>
    </row>
    <row r="12" spans="1:11" x14ac:dyDescent="0.25">
      <c r="A12" s="287"/>
      <c r="B12" s="287"/>
      <c r="C12" s="421" t="s">
        <v>148</v>
      </c>
      <c r="D12" s="287"/>
      <c r="E12" s="287"/>
      <c r="F12" s="287"/>
      <c r="G12" s="287"/>
      <c r="H12" s="287"/>
      <c r="I12" s="287"/>
      <c r="J12" s="287"/>
      <c r="K12" s="287"/>
    </row>
    <row r="13" spans="1:11" x14ac:dyDescent="0.25">
      <c r="A13" s="287"/>
      <c r="B13" s="287"/>
      <c r="C13" s="421"/>
      <c r="D13" s="287"/>
      <c r="E13" s="287"/>
      <c r="F13" s="287"/>
      <c r="G13" s="287"/>
      <c r="H13" s="287"/>
      <c r="I13" s="287"/>
      <c r="J13" s="287"/>
      <c r="K13" s="287"/>
    </row>
    <row r="14" spans="1:11" ht="15.75" thickBot="1" x14ac:dyDescent="0.3">
      <c r="A14" s="287"/>
      <c r="B14" s="287"/>
      <c r="C14" s="421"/>
      <c r="D14" s="287"/>
      <c r="E14" s="287"/>
      <c r="F14" s="287"/>
      <c r="G14" s="287"/>
      <c r="H14" s="287"/>
      <c r="I14" s="287"/>
      <c r="J14" s="287"/>
      <c r="K14" s="287"/>
    </row>
    <row r="15" spans="1:11" ht="15.75" thickBot="1" x14ac:dyDescent="0.3">
      <c r="A15" s="287"/>
      <c r="B15" s="25"/>
      <c r="C15" s="25"/>
      <c r="D15" s="25"/>
      <c r="E15" s="25"/>
      <c r="F15" s="502" t="s">
        <v>422</v>
      </c>
      <c r="G15" s="503"/>
      <c r="H15" s="504"/>
      <c r="I15" s="505" t="s">
        <v>423</v>
      </c>
      <c r="J15" s="506"/>
      <c r="K15" s="507"/>
    </row>
    <row r="16" spans="1:11" ht="18.75" thickBot="1" x14ac:dyDescent="0.3">
      <c r="A16" s="287"/>
      <c r="B16" s="25"/>
      <c r="C16" s="37"/>
      <c r="D16" s="37"/>
      <c r="E16" s="37"/>
      <c r="F16" s="418" t="s">
        <v>376</v>
      </c>
      <c r="G16" s="419"/>
      <c r="H16" s="420"/>
      <c r="I16" s="418" t="s">
        <v>376</v>
      </c>
      <c r="J16" s="419"/>
      <c r="K16" s="420"/>
    </row>
    <row r="17" spans="1:19" ht="60.75" thickBot="1" x14ac:dyDescent="0.3">
      <c r="B17" s="25"/>
      <c r="C17" s="232" t="s">
        <v>10</v>
      </c>
      <c r="D17" s="243" t="s">
        <v>11</v>
      </c>
      <c r="E17" s="276" t="s">
        <v>396</v>
      </c>
      <c r="F17" s="236" t="s">
        <v>276</v>
      </c>
      <c r="G17" s="244" t="s">
        <v>277</v>
      </c>
      <c r="H17" s="246" t="s">
        <v>246</v>
      </c>
      <c r="I17" s="244" t="s">
        <v>276</v>
      </c>
      <c r="J17" s="245" t="s">
        <v>277</v>
      </c>
      <c r="K17" s="246" t="s">
        <v>246</v>
      </c>
      <c r="R17" s="303" t="s">
        <v>276</v>
      </c>
      <c r="S17" s="303" t="s">
        <v>277</v>
      </c>
    </row>
    <row r="18" spans="1:19" x14ac:dyDescent="0.25">
      <c r="A18" s="25"/>
      <c r="B18" s="237" t="s">
        <v>114</v>
      </c>
      <c r="C18" s="238" t="str">
        <f>'Conservation grazing tool'!C42</f>
        <v>Bison</v>
      </c>
      <c r="D18" s="247" t="str">
        <f>'Conservation grazing tool'!D42</f>
        <v>European (360 – 990 kg)</v>
      </c>
      <c r="E18" s="305" t="str">
        <f>'Conservation grazing tool'!E42</f>
        <v>N/A</v>
      </c>
      <c r="F18" s="248">
        <f>IFERROR((('Enteric methane'!Y9+'Enteric methane'!BN9+('Manure methane'!M9/1000)+('Manure methane'!AS9/1000))*'GHG Factors'!$D$12),"NA")</f>
        <v>0</v>
      </c>
      <c r="G18" s="249">
        <f>IFERROR((('N calculations'!M9+'N calculations'!P9+'N calculations'!AT9+'N calculations'!AW9)/1000*'GHG Factors'!$D$24*'GHG Factors'!$D$25),"NA")</f>
        <v>0</v>
      </c>
      <c r="H18" s="250">
        <f>IFERROR(F18+G18,"NA")</f>
        <v>0</v>
      </c>
      <c r="I18" s="248" t="str">
        <f>IFERROR((('Enteric methane'!Z9+'Enteric methane'!BO9+('Manure methane'!Y9/1000)+('Manure methane'!BE9/1000))*'GHG Factors'!$D$12),"NA")</f>
        <v>NA</v>
      </c>
      <c r="J18" s="249" t="str">
        <f>IFERROR((('N calculations'!W9+'N calculations'!Z9+'N calculations'!BF9+'N calculations'!BI9)/1000*'GHG Factors'!$D$24*'GHG Factors'!$D$25),"NA")</f>
        <v>NA</v>
      </c>
      <c r="K18" s="250" t="str">
        <f>IFERROR(I18+J18,"NA")</f>
        <v>NA</v>
      </c>
      <c r="P18" s="287" t="str">
        <f>C18</f>
        <v>Bison</v>
      </c>
      <c r="Q18" s="287" t="s">
        <v>422</v>
      </c>
      <c r="R18" s="302">
        <f>F18</f>
        <v>0</v>
      </c>
      <c r="S18" s="302">
        <f>G18</f>
        <v>0</v>
      </c>
    </row>
    <row r="19" spans="1:19" x14ac:dyDescent="0.25">
      <c r="A19" s="25"/>
      <c r="B19" s="237" t="s">
        <v>115</v>
      </c>
      <c r="C19" s="239" t="str">
        <f>'Conservation grazing tool'!C43</f>
        <v>Water buffalo</v>
      </c>
      <c r="D19" s="252" t="str">
        <f>'Conservation grazing tool'!D43</f>
        <v>Standard (300 – 600 kg)</v>
      </c>
      <c r="E19" s="305" t="str">
        <f>'Conservation grazing tool'!E43</f>
        <v>N/A</v>
      </c>
      <c r="F19" s="256">
        <f>IFERROR((('Enteric methane'!Y10+'Enteric methane'!BN10+('Manure methane'!M10/1000)+('Manure methane'!AS10/1000))*'GHG Factors'!$D$12),"NA")</f>
        <v>0</v>
      </c>
      <c r="G19" s="257">
        <f>IFERROR((('N calculations'!M10+'N calculations'!P10+'N calculations'!AT10+'N calculations'!AW10)/1000*'GHG Factors'!$D$24*'GHG Factors'!$D$25),"NA")</f>
        <v>0</v>
      </c>
      <c r="H19" s="258">
        <f t="shared" ref="H19:H20" si="0">IFERROR(F19+G19,"NA")</f>
        <v>0</v>
      </c>
      <c r="I19" s="256" t="str">
        <f>IFERROR((('Enteric methane'!Z10+'Enteric methane'!BO10+('Manure methane'!Y10/1000)+('Manure methane'!BE10/1000))*'GHG Factors'!$D$12),"NA")</f>
        <v>NA</v>
      </c>
      <c r="J19" s="257" t="str">
        <f>IFERROR((('N calculations'!W10+'N calculations'!Z10+'N calculations'!BF10+'N calculations'!BI10)/1000*'GHG Factors'!$D$24*'GHG Factors'!$D$25),"NA")</f>
        <v>NA</v>
      </c>
      <c r="K19" s="258" t="str">
        <f t="shared" ref="K19:K20" si="1">IFERROR(I19+J19,"NA")</f>
        <v>NA</v>
      </c>
      <c r="P19" s="287" t="str">
        <f>C18</f>
        <v>Bison</v>
      </c>
      <c r="Q19" s="287" t="s">
        <v>423</v>
      </c>
      <c r="R19" s="302" t="str">
        <f>I18</f>
        <v>NA</v>
      </c>
      <c r="S19" s="302" t="str">
        <f>J18</f>
        <v>NA</v>
      </c>
    </row>
    <row r="20" spans="1:19" ht="15.75" thickBot="1" x14ac:dyDescent="0.3">
      <c r="A20" s="25"/>
      <c r="B20" s="237" t="s">
        <v>118</v>
      </c>
      <c r="C20" s="259" t="str">
        <f>'Conservation grazing tool'!C44</f>
        <v>Cattle</v>
      </c>
      <c r="D20" s="260" t="str">
        <f>'Conservation grazing tool'!D44</f>
        <v>Medium (500 kg - 700 kg)</v>
      </c>
      <c r="E20" s="305" t="str">
        <f>'Conservation grazing tool'!E44</f>
        <v>e.g. Longhorn, North (Ruby) Devon, Welsh Black</v>
      </c>
      <c r="F20" s="263">
        <f>IFERROR((('Enteric methane'!Y11+'Enteric methane'!BN11+('Manure methane'!M11/1000)+('Manure methane'!AS11/1000))*'GHG Factors'!$D$12),"NA")</f>
        <v>0</v>
      </c>
      <c r="G20" s="264">
        <f>IFERROR((('N calculations'!M11+'N calculations'!P11+'N calculations'!AT11+'N calculations'!AW11)/1000*'GHG Factors'!$D$24*'GHG Factors'!$D$25),"NA")</f>
        <v>0</v>
      </c>
      <c r="H20" s="265">
        <f t="shared" si="0"/>
        <v>0</v>
      </c>
      <c r="I20" s="263" t="str">
        <f>IFERROR((('Enteric methane'!Z11+'Enteric methane'!BO11+('Manure methane'!Y11/1000)+('Manure methane'!BE11/1000))*'GHG Factors'!$D$12),"NA")</f>
        <v>NA</v>
      </c>
      <c r="J20" s="264" t="str">
        <f>IFERROR((('N calculations'!W11+'N calculations'!Z11+'N calculations'!BF11+'N calculations'!BI11)/1000*'GHG Factors'!$D$24*'GHG Factors'!$D$25),"NA")</f>
        <v>NA</v>
      </c>
      <c r="K20" s="265" t="str">
        <f t="shared" si="1"/>
        <v>NA</v>
      </c>
      <c r="P20" s="287" t="str">
        <f>C19</f>
        <v>Water buffalo</v>
      </c>
      <c r="Q20" s="287" t="s">
        <v>422</v>
      </c>
      <c r="R20" s="302">
        <f>F19</f>
        <v>0</v>
      </c>
      <c r="S20" s="302">
        <f>G19</f>
        <v>0</v>
      </c>
    </row>
    <row r="21" spans="1:19" ht="15.75" thickBot="1" x14ac:dyDescent="0.3">
      <c r="A21" s="25"/>
      <c r="B21" s="237" t="s">
        <v>273</v>
      </c>
      <c r="C21" s="266" t="str">
        <f>'Conservation grazing tool'!C45</f>
        <v>All species</v>
      </c>
      <c r="D21" s="267"/>
      <c r="E21" s="277"/>
      <c r="F21" s="80">
        <f>SUM(F18:F20)</f>
        <v>0</v>
      </c>
      <c r="G21" s="270">
        <f t="shared" ref="G21:K21" si="2">SUM(G18:G20)</f>
        <v>0</v>
      </c>
      <c r="H21" s="271">
        <f t="shared" si="2"/>
        <v>0</v>
      </c>
      <c r="I21" s="269">
        <f t="shared" si="2"/>
        <v>0</v>
      </c>
      <c r="J21" s="270">
        <f t="shared" si="2"/>
        <v>0</v>
      </c>
      <c r="K21" s="271">
        <f t="shared" si="2"/>
        <v>0</v>
      </c>
      <c r="P21" s="287" t="str">
        <f>C19</f>
        <v>Water buffalo</v>
      </c>
      <c r="Q21" s="287" t="s">
        <v>423</v>
      </c>
      <c r="R21" s="302" t="str">
        <f>I19</f>
        <v>NA</v>
      </c>
      <c r="S21" s="302" t="str">
        <f>J19</f>
        <v>NA</v>
      </c>
    </row>
    <row r="22" spans="1:19" x14ac:dyDescent="0.25">
      <c r="A22" s="287"/>
      <c r="B22" s="287"/>
      <c r="C22" s="287"/>
      <c r="D22" s="287"/>
      <c r="E22" s="287"/>
      <c r="F22" s="294"/>
      <c r="G22" s="295"/>
      <c r="H22" s="295"/>
      <c r="I22" s="295"/>
      <c r="J22" s="295"/>
      <c r="K22" s="296"/>
      <c r="P22" s="287" t="str">
        <f>C20</f>
        <v>Cattle</v>
      </c>
      <c r="Q22" s="287" t="s">
        <v>422</v>
      </c>
      <c r="R22" s="302">
        <f>F20</f>
        <v>0</v>
      </c>
      <c r="S22" s="302">
        <f>G20</f>
        <v>0</v>
      </c>
    </row>
    <row r="23" spans="1:19" x14ac:dyDescent="0.25">
      <c r="A23" s="287"/>
      <c r="B23" s="287"/>
      <c r="C23" s="287"/>
      <c r="D23" s="287"/>
      <c r="E23" s="287"/>
      <c r="F23" s="297"/>
      <c r="G23" s="287"/>
      <c r="H23" s="287"/>
      <c r="I23" s="287"/>
      <c r="J23" s="287"/>
      <c r="K23" s="298"/>
      <c r="P23" s="287" t="str">
        <f>C20</f>
        <v>Cattle</v>
      </c>
      <c r="Q23" s="287" t="s">
        <v>423</v>
      </c>
      <c r="R23" s="302" t="str">
        <f>I20</f>
        <v>NA</v>
      </c>
      <c r="S23" s="302" t="str">
        <f>J20</f>
        <v>NA</v>
      </c>
    </row>
    <row r="24" spans="1:19" s="287" customFormat="1" x14ac:dyDescent="0.25">
      <c r="F24" s="297"/>
      <c r="K24" s="298"/>
    </row>
    <row r="25" spans="1:19" s="287" customFormat="1" x14ac:dyDescent="0.25">
      <c r="F25" s="297"/>
      <c r="K25" s="298"/>
    </row>
    <row r="26" spans="1:19" s="287" customFormat="1" x14ac:dyDescent="0.25">
      <c r="F26" s="297"/>
      <c r="K26" s="298"/>
    </row>
    <row r="27" spans="1:19" s="287" customFormat="1" x14ac:dyDescent="0.25">
      <c r="F27" s="297"/>
      <c r="K27" s="298"/>
    </row>
    <row r="28" spans="1:19" s="287" customFormat="1" x14ac:dyDescent="0.25">
      <c r="F28" s="297"/>
      <c r="K28" s="298"/>
    </row>
    <row r="29" spans="1:19" s="287" customFormat="1" x14ac:dyDescent="0.25">
      <c r="F29" s="297"/>
      <c r="K29" s="298"/>
    </row>
    <row r="30" spans="1:19" s="287" customFormat="1" x14ac:dyDescent="0.25">
      <c r="F30" s="297"/>
      <c r="K30" s="298"/>
    </row>
    <row r="31" spans="1:19" s="287" customFormat="1" x14ac:dyDescent="0.25">
      <c r="F31" s="297"/>
      <c r="K31" s="298"/>
    </row>
    <row r="32" spans="1:19" s="287" customFormat="1" x14ac:dyDescent="0.25">
      <c r="F32" s="297"/>
      <c r="K32" s="298"/>
    </row>
    <row r="33" spans="1:19" s="287" customFormat="1" x14ac:dyDescent="0.25">
      <c r="F33" s="297"/>
      <c r="K33" s="298"/>
    </row>
    <row r="34" spans="1:19" s="287" customFormat="1" x14ac:dyDescent="0.25">
      <c r="F34" s="297"/>
      <c r="K34" s="298"/>
    </row>
    <row r="35" spans="1:19" s="287" customFormat="1" x14ac:dyDescent="0.25">
      <c r="F35" s="297"/>
      <c r="K35" s="298"/>
    </row>
    <row r="36" spans="1:19" s="287" customFormat="1" ht="15.75" thickBot="1" x14ac:dyDescent="0.3">
      <c r="F36" s="299"/>
      <c r="G36" s="300"/>
      <c r="H36" s="300"/>
      <c r="I36" s="300"/>
      <c r="J36" s="300"/>
      <c r="K36" s="301"/>
    </row>
    <row r="37" spans="1:19" s="287" customFormat="1" x14ac:dyDescent="0.25"/>
    <row r="38" spans="1:19" s="287" customFormat="1" ht="15.75" thickBot="1" x14ac:dyDescent="0.3"/>
    <row r="39" spans="1:19" ht="15.75" thickBot="1" x14ac:dyDescent="0.3">
      <c r="A39" s="287"/>
      <c r="B39" s="25"/>
      <c r="C39" s="25"/>
      <c r="D39" s="25"/>
      <c r="E39" s="25"/>
      <c r="F39" s="502" t="s">
        <v>422</v>
      </c>
      <c r="G39" s="503"/>
      <c r="H39" s="504"/>
      <c r="I39" s="505" t="s">
        <v>423</v>
      </c>
      <c r="J39" s="506"/>
      <c r="K39" s="507"/>
    </row>
    <row r="40" spans="1:19" ht="18.75" thickBot="1" x14ac:dyDescent="0.3">
      <c r="A40" s="287"/>
      <c r="B40" s="25"/>
      <c r="C40" s="37"/>
      <c r="D40" s="37"/>
      <c r="E40" s="37"/>
      <c r="F40" s="418" t="s">
        <v>377</v>
      </c>
      <c r="G40" s="419"/>
      <c r="H40" s="420"/>
      <c r="I40" s="418" t="s">
        <v>377</v>
      </c>
      <c r="J40" s="419"/>
      <c r="K40" s="420"/>
    </row>
    <row r="41" spans="1:19" ht="60.75" thickBot="1" x14ac:dyDescent="0.3">
      <c r="B41" s="25"/>
      <c r="C41" s="232" t="s">
        <v>10</v>
      </c>
      <c r="D41" s="243" t="s">
        <v>11</v>
      </c>
      <c r="E41" s="276" t="s">
        <v>396</v>
      </c>
      <c r="F41" s="236" t="s">
        <v>276</v>
      </c>
      <c r="G41" s="244" t="s">
        <v>277</v>
      </c>
      <c r="H41" s="246" t="s">
        <v>246</v>
      </c>
      <c r="I41" s="244" t="s">
        <v>276</v>
      </c>
      <c r="J41" s="245" t="s">
        <v>277</v>
      </c>
      <c r="K41" s="246" t="s">
        <v>246</v>
      </c>
      <c r="R41" s="303" t="s">
        <v>276</v>
      </c>
      <c r="S41" s="303" t="s">
        <v>277</v>
      </c>
    </row>
    <row r="42" spans="1:19" x14ac:dyDescent="0.25">
      <c r="A42" s="25"/>
      <c r="B42" s="237" t="s">
        <v>114</v>
      </c>
      <c r="C42" s="238" t="str">
        <f>'Conservation grazing tool'!C42</f>
        <v>Bison</v>
      </c>
      <c r="D42" s="247" t="str">
        <f>'Conservation grazing tool'!D42</f>
        <v>European (360 – 990 kg)</v>
      </c>
      <c r="E42" s="305" t="str">
        <f>'Conservation grazing tool'!E42</f>
        <v>N/A</v>
      </c>
      <c r="F42" s="248" t="str">
        <f>IFERROR(F18/'Conservation grazing tool'!$D$23,"NA")</f>
        <v>NA</v>
      </c>
      <c r="G42" s="249" t="str">
        <f>IFERROR(G18/'Conservation grazing tool'!$D$23,"NA")</f>
        <v>NA</v>
      </c>
      <c r="H42" s="250" t="str">
        <f>IFERROR(H18/'Conservation grazing tool'!$D$23,"NA")</f>
        <v>NA</v>
      </c>
      <c r="I42" s="248" t="str">
        <f>IFERROR(I18/'Conservation grazing tool'!$D$23,"NA")</f>
        <v>NA</v>
      </c>
      <c r="J42" s="249" t="str">
        <f>IFERROR(J18/'Conservation grazing tool'!$D$23,"NA")</f>
        <v>NA</v>
      </c>
      <c r="K42" s="250" t="str">
        <f>IFERROR(K18/'Conservation grazing tool'!$D$23,"NA")</f>
        <v>NA</v>
      </c>
      <c r="P42" s="287" t="str">
        <f>C42</f>
        <v>Bison</v>
      </c>
      <c r="Q42" s="287" t="s">
        <v>422</v>
      </c>
      <c r="R42" s="302" t="str">
        <f>F42</f>
        <v>NA</v>
      </c>
      <c r="S42" s="302" t="str">
        <f>G42</f>
        <v>NA</v>
      </c>
    </row>
    <row r="43" spans="1:19" x14ac:dyDescent="0.25">
      <c r="A43" s="25"/>
      <c r="B43" s="237" t="s">
        <v>115</v>
      </c>
      <c r="C43" s="238" t="str">
        <f>'Conservation grazing tool'!C43</f>
        <v>Water buffalo</v>
      </c>
      <c r="D43" s="252" t="str">
        <f>'Conservation grazing tool'!D43</f>
        <v>Standard (300 – 600 kg)</v>
      </c>
      <c r="E43" s="305" t="str">
        <f>'Conservation grazing tool'!E43</f>
        <v>N/A</v>
      </c>
      <c r="F43" s="256" t="str">
        <f>IFERROR(F19/'Conservation grazing tool'!$D$23,"NA")</f>
        <v>NA</v>
      </c>
      <c r="G43" s="257" t="str">
        <f>IFERROR(G19/'Conservation grazing tool'!$D$23,"NA")</f>
        <v>NA</v>
      </c>
      <c r="H43" s="258" t="str">
        <f>IFERROR(H19/'Conservation grazing tool'!$D$23,"NA")</f>
        <v>NA</v>
      </c>
      <c r="I43" s="256" t="str">
        <f>IFERROR(I19/'Conservation grazing tool'!$D$23,"NA")</f>
        <v>NA</v>
      </c>
      <c r="J43" s="257" t="str">
        <f>IFERROR(J19/'Conservation grazing tool'!$D$23,"NA")</f>
        <v>NA</v>
      </c>
      <c r="K43" s="258" t="str">
        <f>IFERROR(K19/'Conservation grazing tool'!$D$23,"NA")</f>
        <v>NA</v>
      </c>
      <c r="P43" s="287" t="str">
        <f>C42</f>
        <v>Bison</v>
      </c>
      <c r="Q43" s="287" t="s">
        <v>423</v>
      </c>
      <c r="R43" s="302" t="str">
        <f>I42</f>
        <v>NA</v>
      </c>
      <c r="S43" s="302" t="str">
        <f>J42</f>
        <v>NA</v>
      </c>
    </row>
    <row r="44" spans="1:19" ht="15.75" thickBot="1" x14ac:dyDescent="0.3">
      <c r="A44" s="25"/>
      <c r="B44" s="237" t="s">
        <v>118</v>
      </c>
      <c r="C44" s="238" t="str">
        <f>'Conservation grazing tool'!C44</f>
        <v>Cattle</v>
      </c>
      <c r="D44" s="260" t="str">
        <f>'Conservation grazing tool'!D44</f>
        <v>Medium (500 kg - 700 kg)</v>
      </c>
      <c r="E44" s="305" t="str">
        <f>'Conservation grazing tool'!E44</f>
        <v>e.g. Longhorn, North (Ruby) Devon, Welsh Black</v>
      </c>
      <c r="F44" s="263" t="str">
        <f>IFERROR(F20/'Conservation grazing tool'!$D$23,"NA")</f>
        <v>NA</v>
      </c>
      <c r="G44" s="264" t="str">
        <f>IFERROR(G20/'Conservation grazing tool'!$D$23,"NA")</f>
        <v>NA</v>
      </c>
      <c r="H44" s="265" t="str">
        <f>IFERROR(H20/'Conservation grazing tool'!$D$23,"NA")</f>
        <v>NA</v>
      </c>
      <c r="I44" s="263" t="str">
        <f>IFERROR(I20/'Conservation grazing tool'!$D$23,"NA")</f>
        <v>NA</v>
      </c>
      <c r="J44" s="264" t="str">
        <f>IFERROR(J20/'Conservation grazing tool'!$D$23,"NA")</f>
        <v>NA</v>
      </c>
      <c r="K44" s="265" t="str">
        <f>IFERROR(K20/'Conservation grazing tool'!$D$23,"NA")</f>
        <v>NA</v>
      </c>
      <c r="P44" s="287" t="str">
        <f>C43</f>
        <v>Water buffalo</v>
      </c>
      <c r="Q44" s="287" t="s">
        <v>422</v>
      </c>
      <c r="R44" s="302" t="str">
        <f>F43</f>
        <v>NA</v>
      </c>
      <c r="S44" s="302" t="str">
        <f>G43</f>
        <v>NA</v>
      </c>
    </row>
    <row r="45" spans="1:19" ht="15.75" thickBot="1" x14ac:dyDescent="0.3">
      <c r="A45" s="25"/>
      <c r="B45" s="237" t="s">
        <v>273</v>
      </c>
      <c r="C45" s="266" t="str">
        <f>'Conservation grazing tool'!C45</f>
        <v>All species</v>
      </c>
      <c r="D45" s="267"/>
      <c r="E45" s="277"/>
      <c r="F45" s="80" t="str">
        <f>IFERROR(F21/'Conservation grazing tool'!$D$23,"NA")</f>
        <v>NA</v>
      </c>
      <c r="G45" s="270" t="str">
        <f>IFERROR(G21/'Conservation grazing tool'!$D$23,"NA")</f>
        <v>NA</v>
      </c>
      <c r="H45" s="271" t="str">
        <f>IFERROR(H21/'Conservation grazing tool'!$D$23,"NA")</f>
        <v>NA</v>
      </c>
      <c r="I45" s="269" t="str">
        <f>IFERROR(I21/'Conservation grazing tool'!$D$23,"NA")</f>
        <v>NA</v>
      </c>
      <c r="J45" s="270" t="str">
        <f>IFERROR(J21/'Conservation grazing tool'!$D$23,"NA")</f>
        <v>NA</v>
      </c>
      <c r="K45" s="271" t="str">
        <f>IFERROR(K21/'Conservation grazing tool'!$D$23,"NA")</f>
        <v>NA</v>
      </c>
      <c r="P45" s="287" t="str">
        <f>C43</f>
        <v>Water buffalo</v>
      </c>
      <c r="Q45" s="287" t="s">
        <v>423</v>
      </c>
      <c r="R45" s="302" t="str">
        <f>I43</f>
        <v>NA</v>
      </c>
      <c r="S45" s="302" t="str">
        <f>J43</f>
        <v>NA</v>
      </c>
    </row>
    <row r="46" spans="1:19" x14ac:dyDescent="0.25">
      <c r="A46" s="287"/>
      <c r="B46" s="287"/>
      <c r="C46" s="287"/>
      <c r="D46" s="287"/>
      <c r="E46" s="287"/>
      <c r="F46" s="294"/>
      <c r="G46" s="295"/>
      <c r="H46" s="295"/>
      <c r="I46" s="295"/>
      <c r="J46" s="295"/>
      <c r="K46" s="296"/>
      <c r="P46" s="287" t="str">
        <f>C44</f>
        <v>Cattle</v>
      </c>
      <c r="Q46" s="287" t="s">
        <v>422</v>
      </c>
      <c r="R46" s="302" t="str">
        <f>F44</f>
        <v>NA</v>
      </c>
      <c r="S46" s="302" t="str">
        <f>G44</f>
        <v>NA</v>
      </c>
    </row>
    <row r="47" spans="1:19" x14ac:dyDescent="0.25">
      <c r="A47" s="287"/>
      <c r="B47" s="287"/>
      <c r="C47" s="287"/>
      <c r="D47" s="287"/>
      <c r="E47" s="287"/>
      <c r="F47" s="297"/>
      <c r="G47" s="287"/>
      <c r="H47" s="287"/>
      <c r="I47" s="287"/>
      <c r="J47" s="287"/>
      <c r="K47" s="298"/>
      <c r="P47" s="287" t="str">
        <f>C44</f>
        <v>Cattle</v>
      </c>
      <c r="Q47" s="287" t="s">
        <v>423</v>
      </c>
      <c r="R47" s="302" t="str">
        <f>I44</f>
        <v>NA</v>
      </c>
      <c r="S47" s="302" t="str">
        <f>J44</f>
        <v>NA</v>
      </c>
    </row>
    <row r="48" spans="1:19" s="287" customFormat="1" x14ac:dyDescent="0.25">
      <c r="F48" s="297"/>
      <c r="K48" s="298"/>
    </row>
    <row r="49" spans="6:11" s="287" customFormat="1" x14ac:dyDescent="0.25">
      <c r="F49" s="297"/>
      <c r="K49" s="298"/>
    </row>
    <row r="50" spans="6:11" s="287" customFormat="1" x14ac:dyDescent="0.25">
      <c r="F50" s="297"/>
      <c r="K50" s="298"/>
    </row>
    <row r="51" spans="6:11" s="287" customFormat="1" x14ac:dyDescent="0.25">
      <c r="F51" s="297"/>
      <c r="K51" s="298"/>
    </row>
    <row r="52" spans="6:11" s="287" customFormat="1" x14ac:dyDescent="0.25">
      <c r="F52" s="297"/>
      <c r="K52" s="298"/>
    </row>
    <row r="53" spans="6:11" s="287" customFormat="1" x14ac:dyDescent="0.25">
      <c r="F53" s="297"/>
      <c r="K53" s="298"/>
    </row>
    <row r="54" spans="6:11" s="287" customFormat="1" x14ac:dyDescent="0.25">
      <c r="F54" s="297"/>
      <c r="K54" s="298"/>
    </row>
    <row r="55" spans="6:11" s="287" customFormat="1" x14ac:dyDescent="0.25">
      <c r="F55" s="297"/>
      <c r="K55" s="298"/>
    </row>
    <row r="56" spans="6:11" s="287" customFormat="1" x14ac:dyDescent="0.25">
      <c r="F56" s="297"/>
      <c r="K56" s="298"/>
    </row>
    <row r="57" spans="6:11" s="287" customFormat="1" x14ac:dyDescent="0.25">
      <c r="F57" s="297"/>
      <c r="K57" s="298"/>
    </row>
    <row r="58" spans="6:11" s="287" customFormat="1" x14ac:dyDescent="0.25">
      <c r="F58" s="297"/>
      <c r="K58" s="298"/>
    </row>
    <row r="59" spans="6:11" s="287" customFormat="1" x14ac:dyDescent="0.25">
      <c r="F59" s="297"/>
      <c r="K59" s="298"/>
    </row>
    <row r="60" spans="6:11" s="287" customFormat="1" ht="15.75" thickBot="1" x14ac:dyDescent="0.3">
      <c r="F60" s="299"/>
      <c r="G60" s="300"/>
      <c r="H60" s="300"/>
      <c r="I60" s="300"/>
      <c r="J60" s="300"/>
      <c r="K60" s="301"/>
    </row>
    <row r="61" spans="6:11" s="287" customFormat="1" x14ac:dyDescent="0.25"/>
    <row r="62" spans="6:11" s="287" customFormat="1" x14ac:dyDescent="0.25"/>
    <row r="63" spans="6:11" s="287" customFormat="1" x14ac:dyDescent="0.25"/>
    <row r="64" spans="6:11" s="287" customFormat="1" x14ac:dyDescent="0.25"/>
    <row r="65" s="287" customFormat="1" x14ac:dyDescent="0.25"/>
    <row r="66" s="287" customFormat="1" x14ac:dyDescent="0.25"/>
    <row r="67" s="287" customFormat="1" x14ac:dyDescent="0.25"/>
    <row r="68" s="287" customFormat="1" x14ac:dyDescent="0.25"/>
    <row r="69" s="287" customFormat="1" x14ac:dyDescent="0.25"/>
    <row r="70" s="287" customFormat="1" x14ac:dyDescent="0.25"/>
    <row r="71" s="287" customFormat="1" x14ac:dyDescent="0.25"/>
    <row r="72" s="287" customFormat="1" x14ac:dyDescent="0.25"/>
    <row r="73" s="287" customFormat="1" x14ac:dyDescent="0.25"/>
    <row r="74" s="287" customFormat="1" x14ac:dyDescent="0.25"/>
    <row r="75" s="287" customFormat="1" x14ac:dyDescent="0.25"/>
    <row r="76" s="287" customFormat="1" x14ac:dyDescent="0.25"/>
    <row r="77" s="287" customFormat="1" x14ac:dyDescent="0.25"/>
    <row r="78" s="287" customFormat="1" x14ac:dyDescent="0.25"/>
    <row r="79" s="287" customFormat="1" x14ac:dyDescent="0.25"/>
    <row r="80" s="287" customFormat="1" x14ac:dyDescent="0.25"/>
    <row r="81" s="287" customFormat="1" x14ac:dyDescent="0.25"/>
    <row r="82" s="287" customFormat="1" x14ac:dyDescent="0.25"/>
    <row r="83" s="287" customFormat="1" x14ac:dyDescent="0.25"/>
    <row r="84" s="287" customFormat="1" x14ac:dyDescent="0.25"/>
    <row r="85" s="287" customFormat="1" x14ac:dyDescent="0.25"/>
    <row r="86" s="287" customFormat="1" x14ac:dyDescent="0.25"/>
    <row r="87" s="287" customFormat="1" x14ac:dyDescent="0.25"/>
    <row r="88" s="287" customFormat="1" x14ac:dyDescent="0.25"/>
    <row r="89" s="287" customFormat="1" x14ac:dyDescent="0.25"/>
    <row r="90" s="287" customFormat="1" x14ac:dyDescent="0.25"/>
    <row r="91" s="287" customFormat="1" x14ac:dyDescent="0.25"/>
    <row r="92" s="287" customFormat="1" x14ac:dyDescent="0.25"/>
    <row r="93" s="287" customFormat="1" x14ac:dyDescent="0.25"/>
    <row r="94" s="287" customFormat="1" x14ac:dyDescent="0.25"/>
    <row r="95" s="287" customFormat="1" x14ac:dyDescent="0.25"/>
    <row r="96" s="287" customFormat="1" x14ac:dyDescent="0.25"/>
    <row r="97" s="287" customFormat="1" x14ac:dyDescent="0.25"/>
    <row r="98" s="287" customFormat="1" x14ac:dyDescent="0.25"/>
    <row r="99" s="287" customFormat="1" x14ac:dyDescent="0.25"/>
    <row r="100" s="287" customFormat="1" x14ac:dyDescent="0.25"/>
    <row r="101" s="287" customFormat="1" x14ac:dyDescent="0.25"/>
    <row r="102" s="287" customFormat="1" x14ac:dyDescent="0.25"/>
    <row r="103" s="287" customFormat="1" x14ac:dyDescent="0.25"/>
    <row r="104" s="287" customFormat="1" x14ac:dyDescent="0.25"/>
    <row r="105" s="287" customFormat="1" x14ac:dyDescent="0.25"/>
    <row r="106" s="287" customFormat="1" x14ac:dyDescent="0.25"/>
    <row r="107" s="287" customFormat="1" x14ac:dyDescent="0.25"/>
    <row r="108" s="287" customFormat="1" x14ac:dyDescent="0.25"/>
    <row r="109" s="287" customFormat="1" x14ac:dyDescent="0.25"/>
    <row r="110" s="287" customFormat="1" x14ac:dyDescent="0.25"/>
    <row r="111" s="287" customFormat="1" x14ac:dyDescent="0.25"/>
    <row r="112" s="287" customFormat="1" x14ac:dyDescent="0.25"/>
    <row r="113" s="287" customFormat="1" x14ac:dyDescent="0.25"/>
    <row r="114" s="287" customFormat="1" x14ac:dyDescent="0.25"/>
    <row r="115" s="287" customFormat="1" x14ac:dyDescent="0.25"/>
    <row r="116" s="287" customFormat="1" x14ac:dyDescent="0.25"/>
    <row r="117" s="287" customFormat="1" x14ac:dyDescent="0.25"/>
    <row r="118" s="287" customFormat="1" x14ac:dyDescent="0.25"/>
    <row r="119" s="287" customFormat="1" x14ac:dyDescent="0.25"/>
    <row r="120" s="287" customFormat="1" x14ac:dyDescent="0.25"/>
    <row r="121" s="287" customFormat="1" x14ac:dyDescent="0.25"/>
    <row r="122" s="287" customFormat="1" x14ac:dyDescent="0.25"/>
    <row r="123" s="287" customFormat="1" x14ac:dyDescent="0.25"/>
    <row r="124" s="287" customFormat="1" x14ac:dyDescent="0.25"/>
    <row r="125" s="287" customFormat="1" x14ac:dyDescent="0.25"/>
    <row r="126" s="287" customFormat="1" x14ac:dyDescent="0.25"/>
    <row r="127" s="287" customFormat="1" x14ac:dyDescent="0.25"/>
    <row r="128" s="287" customFormat="1" x14ac:dyDescent="0.25"/>
    <row r="129" s="287" customFormat="1" x14ac:dyDescent="0.25"/>
    <row r="130" s="287" customFormat="1" x14ac:dyDescent="0.25"/>
    <row r="131" s="287" customFormat="1" x14ac:dyDescent="0.25"/>
    <row r="132" s="287" customFormat="1" x14ac:dyDescent="0.25"/>
    <row r="133" s="287" customFormat="1" x14ac:dyDescent="0.25"/>
    <row r="134" s="287" customFormat="1" x14ac:dyDescent="0.25"/>
    <row r="135" s="287" customFormat="1" x14ac:dyDescent="0.25"/>
    <row r="136" s="287" customFormat="1" x14ac:dyDescent="0.25"/>
    <row r="137" s="287" customFormat="1" x14ac:dyDescent="0.25"/>
    <row r="138" s="287" customFormat="1" x14ac:dyDescent="0.25"/>
    <row r="139" s="287" customFormat="1" x14ac:dyDescent="0.25"/>
    <row r="140" s="287" customFormat="1" x14ac:dyDescent="0.25"/>
    <row r="141" s="287" customFormat="1" x14ac:dyDescent="0.25"/>
    <row r="142" s="287" customFormat="1" x14ac:dyDescent="0.25"/>
    <row r="143" s="287" customFormat="1" x14ac:dyDescent="0.25"/>
    <row r="144" s="287" customFormat="1" x14ac:dyDescent="0.25"/>
    <row r="145" s="287" customFormat="1" x14ac:dyDescent="0.25"/>
    <row r="146" s="287" customFormat="1" x14ac:dyDescent="0.25"/>
    <row r="147" s="287" customFormat="1" x14ac:dyDescent="0.25"/>
    <row r="148" s="287" customFormat="1" x14ac:dyDescent="0.25"/>
    <row r="149" s="287" customFormat="1" x14ac:dyDescent="0.25"/>
    <row r="150" s="287" customFormat="1" x14ac:dyDescent="0.25"/>
    <row r="151" s="287" customFormat="1" x14ac:dyDescent="0.25"/>
    <row r="152" s="287" customFormat="1" x14ac:dyDescent="0.25"/>
    <row r="153" s="287" customFormat="1" x14ac:dyDescent="0.25"/>
    <row r="154" s="287" customFormat="1" x14ac:dyDescent="0.25"/>
    <row r="155" s="287" customFormat="1" x14ac:dyDescent="0.25"/>
    <row r="156" s="287" customFormat="1" x14ac:dyDescent="0.25"/>
    <row r="157" s="287" customFormat="1" x14ac:dyDescent="0.25"/>
    <row r="158" s="287" customFormat="1" x14ac:dyDescent="0.25"/>
    <row r="159" s="287" customFormat="1" x14ac:dyDescent="0.25"/>
    <row r="160" s="287" customFormat="1" x14ac:dyDescent="0.25"/>
    <row r="161" s="287" customFormat="1" x14ac:dyDescent="0.25"/>
    <row r="162" s="287" customFormat="1" x14ac:dyDescent="0.25"/>
    <row r="163" s="287" customFormat="1" x14ac:dyDescent="0.25"/>
    <row r="164" s="287" customFormat="1" x14ac:dyDescent="0.25"/>
    <row r="165" s="287" customFormat="1" x14ac:dyDescent="0.25"/>
    <row r="166" s="287" customFormat="1" x14ac:dyDescent="0.25"/>
    <row r="167" s="287" customFormat="1" x14ac:dyDescent="0.25"/>
    <row r="168" s="287" customFormat="1" x14ac:dyDescent="0.25"/>
    <row r="169" s="287" customFormat="1" x14ac:dyDescent="0.25"/>
    <row r="170" s="287" customFormat="1" x14ac:dyDescent="0.25"/>
    <row r="171" s="287" customFormat="1" x14ac:dyDescent="0.25"/>
    <row r="172" s="287" customFormat="1" x14ac:dyDescent="0.25"/>
    <row r="173" s="287" customFormat="1" x14ac:dyDescent="0.25"/>
    <row r="174" s="287" customFormat="1" x14ac:dyDescent="0.25"/>
    <row r="175" s="287" customFormat="1" x14ac:dyDescent="0.25"/>
    <row r="176" s="287" customFormat="1" x14ac:dyDescent="0.25"/>
    <row r="177" s="287" customFormat="1" x14ac:dyDescent="0.25"/>
    <row r="178" s="287" customFormat="1" x14ac:dyDescent="0.25"/>
    <row r="179" s="287" customFormat="1" x14ac:dyDescent="0.25"/>
    <row r="180" s="287" customFormat="1" x14ac:dyDescent="0.25"/>
    <row r="181" s="287" customFormat="1" x14ac:dyDescent="0.25"/>
    <row r="182" s="287" customFormat="1" x14ac:dyDescent="0.25"/>
    <row r="183" s="287" customFormat="1" x14ac:dyDescent="0.25"/>
    <row r="184" s="287" customFormat="1" x14ac:dyDescent="0.25"/>
    <row r="185" s="287" customFormat="1" x14ac:dyDescent="0.25"/>
    <row r="186" s="287" customFormat="1" x14ac:dyDescent="0.25"/>
    <row r="187" s="287" customFormat="1" x14ac:dyDescent="0.25"/>
    <row r="188" s="287" customFormat="1" x14ac:dyDescent="0.25"/>
    <row r="189" s="287" customFormat="1" x14ac:dyDescent="0.25"/>
    <row r="190" s="287" customFormat="1" x14ac:dyDescent="0.25"/>
    <row r="191" s="287" customFormat="1" x14ac:dyDescent="0.25"/>
    <row r="192" s="287" customFormat="1" x14ac:dyDescent="0.25"/>
    <row r="193" s="287" customFormat="1" x14ac:dyDescent="0.25"/>
    <row r="194" s="287" customFormat="1" x14ac:dyDescent="0.25"/>
    <row r="195" s="287" customFormat="1" x14ac:dyDescent="0.25"/>
    <row r="196" s="287" customFormat="1" x14ac:dyDescent="0.25"/>
    <row r="197" s="287" customFormat="1" x14ac:dyDescent="0.25"/>
    <row r="198" s="287" customFormat="1" x14ac:dyDescent="0.25"/>
    <row r="199" s="287" customFormat="1" x14ac:dyDescent="0.25"/>
    <row r="200" s="287" customFormat="1" x14ac:dyDescent="0.25"/>
    <row r="201" s="287" customFormat="1" x14ac:dyDescent="0.25"/>
    <row r="202" s="287" customFormat="1" x14ac:dyDescent="0.25"/>
    <row r="203" s="287" customFormat="1" x14ac:dyDescent="0.25"/>
    <row r="204" s="287" customFormat="1" x14ac:dyDescent="0.25"/>
    <row r="205" s="287" customFormat="1" x14ac:dyDescent="0.25"/>
    <row r="206" s="287" customFormat="1" x14ac:dyDescent="0.25"/>
    <row r="207" s="287" customFormat="1" x14ac:dyDescent="0.25"/>
    <row r="208" s="287" customFormat="1" x14ac:dyDescent="0.25"/>
    <row r="209" s="287" customFormat="1" x14ac:dyDescent="0.25"/>
    <row r="210" s="287" customFormat="1" x14ac:dyDescent="0.25"/>
    <row r="211" s="287" customFormat="1" x14ac:dyDescent="0.25"/>
    <row r="212" s="287" customFormat="1" x14ac:dyDescent="0.25"/>
    <row r="213" s="287" customFormat="1" x14ac:dyDescent="0.25"/>
    <row r="214" s="287" customFormat="1" x14ac:dyDescent="0.25"/>
    <row r="215" s="287" customFormat="1" x14ac:dyDescent="0.25"/>
    <row r="216" s="287" customFormat="1" x14ac:dyDescent="0.25"/>
    <row r="217" s="287" customFormat="1" x14ac:dyDescent="0.25"/>
    <row r="218" s="287" customFormat="1" x14ac:dyDescent="0.25"/>
    <row r="219" s="287" customFormat="1" x14ac:dyDescent="0.25"/>
    <row r="220" s="287" customFormat="1" x14ac:dyDescent="0.25"/>
    <row r="221" s="287" customFormat="1" x14ac:dyDescent="0.25"/>
    <row r="222" s="287" customFormat="1" x14ac:dyDescent="0.25"/>
    <row r="223" s="287" customFormat="1" x14ac:dyDescent="0.25"/>
    <row r="224" s="287" customFormat="1" x14ac:dyDescent="0.25"/>
    <row r="225" s="287" customFormat="1" x14ac:dyDescent="0.25"/>
    <row r="226" s="287" customFormat="1" x14ac:dyDescent="0.25"/>
    <row r="227" s="287" customFormat="1" x14ac:dyDescent="0.25"/>
    <row r="228" s="287" customFormat="1" x14ac:dyDescent="0.25"/>
    <row r="229" s="287" customFormat="1" x14ac:dyDescent="0.25"/>
    <row r="230" s="287" customFormat="1" x14ac:dyDescent="0.25"/>
    <row r="231" s="287" customFormat="1" x14ac:dyDescent="0.25"/>
    <row r="232" s="287" customFormat="1" x14ac:dyDescent="0.25"/>
    <row r="233" s="287" customFormat="1" x14ac:dyDescent="0.25"/>
    <row r="234" s="287" customFormat="1" x14ac:dyDescent="0.25"/>
    <row r="235" s="287" customFormat="1" x14ac:dyDescent="0.25"/>
    <row r="236" s="287" customFormat="1" x14ac:dyDescent="0.25"/>
    <row r="237" s="287" customFormat="1" x14ac:dyDescent="0.25"/>
    <row r="238" s="287" customFormat="1" x14ac:dyDescent="0.25"/>
    <row r="239" s="287" customFormat="1" x14ac:dyDescent="0.25"/>
    <row r="240" s="287" customFormat="1" x14ac:dyDescent="0.25"/>
    <row r="241" s="287" customFormat="1" x14ac:dyDescent="0.25"/>
    <row r="242" s="287" customFormat="1" x14ac:dyDescent="0.25"/>
    <row r="243" s="287" customFormat="1" x14ac:dyDescent="0.25"/>
    <row r="244" s="287" customFormat="1" x14ac:dyDescent="0.25"/>
    <row r="245" s="287" customFormat="1" x14ac:dyDescent="0.25"/>
    <row r="246" s="287" customFormat="1" x14ac:dyDescent="0.25"/>
    <row r="247" s="287" customFormat="1" x14ac:dyDescent="0.25"/>
    <row r="248" s="287" customFormat="1" x14ac:dyDescent="0.25"/>
    <row r="249" s="287" customFormat="1" x14ac:dyDescent="0.25"/>
    <row r="250" s="287" customFormat="1" x14ac:dyDescent="0.25"/>
    <row r="251" s="287" customFormat="1" x14ac:dyDescent="0.25"/>
    <row r="252" s="287" customFormat="1" x14ac:dyDescent="0.25"/>
    <row r="253" s="287" customFormat="1" x14ac:dyDescent="0.25"/>
    <row r="254" s="287" customFormat="1" x14ac:dyDescent="0.25"/>
    <row r="255" s="287" customFormat="1" x14ac:dyDescent="0.25"/>
    <row r="256" s="287" customFormat="1" x14ac:dyDescent="0.25"/>
    <row r="257" s="287" customFormat="1" x14ac:dyDescent="0.25"/>
    <row r="258" s="287" customFormat="1" x14ac:dyDescent="0.25"/>
    <row r="259" s="287" customFormat="1" x14ac:dyDescent="0.25"/>
    <row r="260" s="287" customFormat="1" x14ac:dyDescent="0.25"/>
    <row r="261" s="287" customFormat="1" x14ac:dyDescent="0.25"/>
    <row r="262" s="287" customFormat="1" x14ac:dyDescent="0.25"/>
    <row r="263" s="287" customFormat="1" x14ac:dyDescent="0.25"/>
    <row r="264" s="287" customFormat="1" x14ac:dyDescent="0.25"/>
    <row r="265" s="287" customFormat="1" x14ac:dyDescent="0.25"/>
    <row r="266" s="287" customFormat="1" x14ac:dyDescent="0.25"/>
    <row r="267" s="287" customFormat="1" x14ac:dyDescent="0.25"/>
    <row r="268" s="287" customFormat="1" x14ac:dyDescent="0.25"/>
    <row r="269" s="287" customFormat="1" x14ac:dyDescent="0.25"/>
    <row r="270" s="287" customFormat="1" x14ac:dyDescent="0.25"/>
    <row r="271" s="287" customFormat="1" x14ac:dyDescent="0.25"/>
    <row r="272" s="287" customFormat="1" x14ac:dyDescent="0.25"/>
    <row r="273" s="287" customFormat="1" x14ac:dyDescent="0.25"/>
    <row r="274" s="287" customFormat="1" x14ac:dyDescent="0.25"/>
    <row r="275" s="287" customFormat="1" x14ac:dyDescent="0.25"/>
    <row r="276" s="287" customFormat="1" x14ac:dyDescent="0.25"/>
    <row r="277" s="287" customFormat="1" x14ac:dyDescent="0.25"/>
    <row r="278" s="287" customFormat="1" x14ac:dyDescent="0.25"/>
    <row r="279" s="287" customFormat="1" x14ac:dyDescent="0.25"/>
    <row r="280" s="287" customFormat="1" x14ac:dyDescent="0.25"/>
    <row r="281" s="287" customFormat="1" x14ac:dyDescent="0.25"/>
    <row r="282" s="287" customFormat="1" x14ac:dyDescent="0.25"/>
    <row r="283" s="287" customFormat="1" x14ac:dyDescent="0.25"/>
    <row r="284" s="287" customFormat="1" x14ac:dyDescent="0.25"/>
    <row r="285" s="287" customFormat="1" x14ac:dyDescent="0.25"/>
    <row r="286" s="287" customFormat="1" x14ac:dyDescent="0.25"/>
    <row r="287" s="287" customFormat="1" x14ac:dyDescent="0.25"/>
    <row r="288" s="287" customFormat="1" x14ac:dyDescent="0.25"/>
    <row r="289" s="287" customFormat="1" x14ac:dyDescent="0.25"/>
    <row r="290" s="287" customFormat="1" x14ac:dyDescent="0.25"/>
    <row r="291" s="287" customFormat="1" x14ac:dyDescent="0.25"/>
    <row r="292" s="287" customFormat="1" x14ac:dyDescent="0.25"/>
    <row r="293" s="287" customFormat="1" x14ac:dyDescent="0.25"/>
    <row r="294" s="287" customFormat="1" x14ac:dyDescent="0.25"/>
    <row r="295" s="287" customFormat="1" x14ac:dyDescent="0.25"/>
    <row r="296" s="287" customFormat="1" x14ac:dyDescent="0.25"/>
    <row r="297" s="287" customFormat="1" x14ac:dyDescent="0.25"/>
    <row r="298" s="287" customFormat="1" x14ac:dyDescent="0.25"/>
    <row r="299" s="287" customFormat="1" x14ac:dyDescent="0.25"/>
    <row r="300" s="287" customFormat="1" x14ac:dyDescent="0.25"/>
  </sheetData>
  <sheetProtection algorithmName="SHA-512" hashValue="kmDCX3pBt30IQBhKOah6uG0oM0aN/fjJPDDEwKpMetB7bbKYCzjqKcR5Aa2qf+egG16nCircKkDEBmp0jQiX1g==" saltValue="+2HGoU8/uNXqLPHa3W9KkQ==" spinCount="100000" sheet="1" objects="1" scenarios="1"/>
  <mergeCells count="10">
    <mergeCell ref="F39:H39"/>
    <mergeCell ref="I39:K39"/>
    <mergeCell ref="F40:H40"/>
    <mergeCell ref="I40:K40"/>
    <mergeCell ref="C4:H5"/>
    <mergeCell ref="C12:C14"/>
    <mergeCell ref="F16:H16"/>
    <mergeCell ref="I16:K16"/>
    <mergeCell ref="F15:H15"/>
    <mergeCell ref="I15:K1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11AD0-E543-46B8-818B-F619C0129C1C}">
  <sheetPr codeName="Sheet6">
    <tabColor theme="9"/>
  </sheetPr>
  <dimension ref="A1:BR17"/>
  <sheetViews>
    <sheetView workbookViewId="0">
      <selection activeCell="Y9" sqref="Y9"/>
    </sheetView>
  </sheetViews>
  <sheetFormatPr defaultRowHeight="15" x14ac:dyDescent="0.25"/>
  <cols>
    <col min="1" max="1" width="30.140625" customWidth="1"/>
    <col min="2" max="2" width="10.42578125" customWidth="1"/>
    <col min="3" max="3" width="22.140625" customWidth="1"/>
    <col min="4" max="4" width="20.85546875" customWidth="1"/>
    <col min="5" max="5" width="13.42578125" customWidth="1"/>
    <col min="6" max="6" width="12.85546875" customWidth="1"/>
    <col min="7" max="8" width="8.85546875" customWidth="1"/>
    <col min="9" max="9" width="12.5703125" customWidth="1"/>
    <col min="10" max="10" width="18.5703125" customWidth="1"/>
    <col min="11" max="11" width="14" customWidth="1"/>
    <col min="12" max="12" width="35.5703125" customWidth="1"/>
    <col min="13" max="13" width="13.85546875" customWidth="1"/>
    <col min="14" max="14" width="11.42578125" customWidth="1"/>
    <col min="15" max="15" width="12.42578125" customWidth="1"/>
    <col min="16" max="16" width="27" customWidth="1"/>
    <col min="17" max="17" width="25.85546875" customWidth="1"/>
    <col min="18" max="18" width="13.140625" customWidth="1"/>
    <col min="19" max="19" width="25.85546875" customWidth="1"/>
    <col min="20" max="20" width="13.140625" customWidth="1"/>
    <col min="21" max="22" width="23.85546875" customWidth="1"/>
    <col min="23" max="23" width="10.85546875" customWidth="1"/>
    <col min="24" max="26" width="19.85546875" customWidth="1"/>
    <col min="27" max="27" width="12.85546875" customWidth="1"/>
    <col min="28" max="28" width="16.140625" customWidth="1"/>
    <col min="29" max="29" width="12.5703125" customWidth="1"/>
    <col min="35" max="35" width="20.85546875" bestFit="1" customWidth="1"/>
    <col min="36" max="36" width="10.140625" customWidth="1"/>
    <col min="37" max="37" width="11.140625" customWidth="1"/>
    <col min="40" max="40" width="12.85546875" customWidth="1"/>
    <col min="41" max="41" width="17.42578125" customWidth="1"/>
    <col min="42" max="43" width="14" customWidth="1"/>
    <col min="44" max="44" width="15.85546875" customWidth="1"/>
    <col min="45" max="45" width="16.140625" customWidth="1"/>
    <col min="46" max="46" width="13.42578125" customWidth="1"/>
    <col min="47" max="47" width="13.85546875" customWidth="1"/>
    <col min="48" max="48" width="17.5703125" customWidth="1"/>
    <col min="49" max="49" width="16.42578125" customWidth="1"/>
    <col min="50" max="50" width="15.85546875" customWidth="1"/>
    <col min="51" max="51" width="12.140625" customWidth="1"/>
    <col min="52" max="52" width="16.140625" customWidth="1"/>
    <col min="54" max="54" width="8.85546875" customWidth="1"/>
    <col min="55" max="55" width="15.42578125" customWidth="1"/>
    <col min="56" max="56" width="13.140625" customWidth="1"/>
    <col min="57" max="60" width="26.140625" customWidth="1"/>
    <col min="61" max="61" width="13.85546875" customWidth="1"/>
    <col min="62" max="63" width="25.85546875" customWidth="1"/>
    <col min="64" max="64" width="11.42578125" customWidth="1"/>
    <col min="65" max="67" width="13.5703125" customWidth="1"/>
    <col min="68" max="69" width="16.140625" customWidth="1"/>
    <col min="70" max="70" width="16.5703125" customWidth="1"/>
  </cols>
  <sheetData>
    <row r="1" spans="1:70" s="14" customFormat="1" ht="61.35" customHeight="1" x14ac:dyDescent="0.25">
      <c r="A1" s="16" t="s">
        <v>196</v>
      </c>
      <c r="I1" s="508" t="s">
        <v>187</v>
      </c>
      <c r="J1" s="508"/>
      <c r="K1" s="510" t="s">
        <v>188</v>
      </c>
      <c r="L1" s="510"/>
      <c r="M1" s="510"/>
      <c r="N1" s="510"/>
      <c r="O1" s="509" t="s">
        <v>189</v>
      </c>
      <c r="P1" s="509"/>
      <c r="Q1" s="12" t="s">
        <v>190</v>
      </c>
      <c r="R1" s="13" t="s">
        <v>191</v>
      </c>
      <c r="S1" s="18" t="s">
        <v>247</v>
      </c>
      <c r="T1" s="13" t="s">
        <v>248</v>
      </c>
      <c r="U1" s="511" t="s">
        <v>432</v>
      </c>
      <c r="V1" s="511"/>
      <c r="W1" s="512" t="s">
        <v>193</v>
      </c>
      <c r="X1" s="512"/>
      <c r="Y1" s="282" t="s">
        <v>414</v>
      </c>
      <c r="Z1" s="282" t="s">
        <v>415</v>
      </c>
      <c r="AA1" s="509" t="s">
        <v>194</v>
      </c>
      <c r="AB1" s="509"/>
      <c r="AC1" s="509"/>
      <c r="AN1" s="508" t="s">
        <v>187</v>
      </c>
      <c r="AO1" s="508"/>
      <c r="AP1" s="510" t="s">
        <v>188</v>
      </c>
      <c r="AQ1" s="510"/>
      <c r="AR1" s="510"/>
      <c r="AS1" s="510"/>
      <c r="AT1" s="508" t="s">
        <v>195</v>
      </c>
      <c r="AU1" s="508"/>
      <c r="AV1" s="508"/>
      <c r="AW1" s="508"/>
      <c r="AX1" s="508"/>
      <c r="AY1" s="508"/>
      <c r="AZ1" s="508"/>
      <c r="BA1" s="508"/>
      <c r="BB1" s="508"/>
      <c r="BC1" s="508"/>
      <c r="BD1" s="509" t="s">
        <v>189</v>
      </c>
      <c r="BE1" s="509"/>
      <c r="BF1" s="12" t="s">
        <v>190</v>
      </c>
      <c r="BG1" s="13" t="s">
        <v>191</v>
      </c>
      <c r="BH1" s="12" t="s">
        <v>243</v>
      </c>
      <c r="BI1" s="13" t="s">
        <v>191</v>
      </c>
      <c r="BJ1" s="18" t="s">
        <v>192</v>
      </c>
      <c r="BK1" s="18"/>
      <c r="BL1" s="512" t="s">
        <v>193</v>
      </c>
      <c r="BM1" s="512"/>
      <c r="BN1" s="282" t="s">
        <v>414</v>
      </c>
      <c r="BO1" s="282" t="s">
        <v>415</v>
      </c>
      <c r="BP1" s="509" t="s">
        <v>194</v>
      </c>
      <c r="BQ1" s="509"/>
      <c r="BR1" s="509"/>
    </row>
    <row r="3" spans="1:70" x14ac:dyDescent="0.25">
      <c r="AT3" s="10"/>
      <c r="AU3" s="10"/>
      <c r="AV3" s="10"/>
      <c r="AW3" s="10"/>
      <c r="AX3" s="10"/>
      <c r="AY3" s="10"/>
      <c r="AZ3" s="10"/>
      <c r="BA3" s="7"/>
      <c r="BB3" s="7"/>
    </row>
    <row r="4" spans="1:70" x14ac:dyDescent="0.25">
      <c r="A4" s="5" t="s">
        <v>79</v>
      </c>
      <c r="B4" s="5" t="s">
        <v>79</v>
      </c>
      <c r="C4" s="5" t="s">
        <v>79</v>
      </c>
      <c r="D4" s="5" t="s">
        <v>79</v>
      </c>
      <c r="E4" s="1" t="s">
        <v>23</v>
      </c>
      <c r="F4" s="1" t="s">
        <v>23</v>
      </c>
      <c r="G4" s="1" t="s">
        <v>23</v>
      </c>
      <c r="H4" s="15" t="s">
        <v>121</v>
      </c>
      <c r="I4" s="4" t="s">
        <v>45</v>
      </c>
      <c r="J4" s="3" t="s">
        <v>22</v>
      </c>
      <c r="K4" s="5" t="s">
        <v>79</v>
      </c>
      <c r="L4" s="5" t="s">
        <v>79</v>
      </c>
      <c r="M4" s="4" t="s">
        <v>45</v>
      </c>
      <c r="N4" s="3" t="s">
        <v>22</v>
      </c>
      <c r="O4" s="4" t="s">
        <v>45</v>
      </c>
      <c r="P4" s="3" t="s">
        <v>22</v>
      </c>
      <c r="Q4" s="3" t="s">
        <v>22</v>
      </c>
      <c r="R4" s="3" t="s">
        <v>22</v>
      </c>
      <c r="S4" s="3"/>
      <c r="T4" s="3"/>
      <c r="U4" s="4" t="s">
        <v>45</v>
      </c>
      <c r="V4" s="3" t="s">
        <v>22</v>
      </c>
      <c r="W4" s="4" t="s">
        <v>45</v>
      </c>
      <c r="X4" s="3" t="s">
        <v>22</v>
      </c>
      <c r="Y4" s="3" t="s">
        <v>22</v>
      </c>
      <c r="Z4" s="3" t="s">
        <v>22</v>
      </c>
      <c r="AA4" s="3" t="s">
        <v>22</v>
      </c>
      <c r="AB4" s="3" t="s">
        <v>22</v>
      </c>
      <c r="AC4" s="3" t="s">
        <v>22</v>
      </c>
      <c r="AF4" s="5" t="s">
        <v>79</v>
      </c>
      <c r="AG4" s="5" t="s">
        <v>79</v>
      </c>
      <c r="AH4" s="5" t="s">
        <v>79</v>
      </c>
      <c r="AI4" s="5" t="s">
        <v>79</v>
      </c>
      <c r="AJ4" s="1" t="s">
        <v>23</v>
      </c>
      <c r="AK4" s="1" t="s">
        <v>23</v>
      </c>
      <c r="AL4" s="1" t="s">
        <v>23</v>
      </c>
      <c r="AM4" s="15" t="s">
        <v>121</v>
      </c>
      <c r="AN4" s="4" t="s">
        <v>45</v>
      </c>
      <c r="AO4" s="3" t="s">
        <v>22</v>
      </c>
      <c r="AP4" s="5" t="s">
        <v>79</v>
      </c>
      <c r="AQ4" s="5" t="s">
        <v>79</v>
      </c>
      <c r="AR4" s="4" t="s">
        <v>45</v>
      </c>
      <c r="AS4" s="3" t="s">
        <v>22</v>
      </c>
      <c r="AT4" s="4" t="s">
        <v>49</v>
      </c>
      <c r="AU4" s="1" t="s">
        <v>23</v>
      </c>
      <c r="AV4" s="3" t="s">
        <v>22</v>
      </c>
      <c r="AW4" s="3" t="s">
        <v>22</v>
      </c>
      <c r="AX4" s="3" t="s">
        <v>22</v>
      </c>
      <c r="AY4" s="3" t="s">
        <v>22</v>
      </c>
      <c r="AZ4" s="3" t="s">
        <v>22</v>
      </c>
      <c r="BA4" s="3"/>
      <c r="BB4" s="3"/>
      <c r="BC4" s="3" t="s">
        <v>22</v>
      </c>
      <c r="BD4" s="4" t="s">
        <v>49</v>
      </c>
      <c r="BE4" s="3" t="s">
        <v>22</v>
      </c>
      <c r="BF4" s="3" t="s">
        <v>22</v>
      </c>
      <c r="BG4" s="3"/>
      <c r="BH4" s="3"/>
      <c r="BI4" s="3" t="s">
        <v>22</v>
      </c>
      <c r="BJ4" s="4" t="s">
        <v>45</v>
      </c>
      <c r="BK4" s="4"/>
      <c r="BL4" s="4" t="s">
        <v>45</v>
      </c>
      <c r="BM4" s="3" t="s">
        <v>22</v>
      </c>
      <c r="BN4" s="3" t="s">
        <v>22</v>
      </c>
      <c r="BO4" s="3" t="s">
        <v>22</v>
      </c>
      <c r="BP4" s="3" t="s">
        <v>22</v>
      </c>
      <c r="BQ4" s="3" t="s">
        <v>22</v>
      </c>
      <c r="BR4" s="3" t="s">
        <v>22</v>
      </c>
    </row>
    <row r="6" spans="1:70" s="9" customFormat="1" ht="62.85" customHeight="1" x14ac:dyDescent="0.35">
      <c r="A6" s="9" t="s">
        <v>79</v>
      </c>
      <c r="B6" s="8" t="s">
        <v>10</v>
      </c>
      <c r="C6" s="8" t="s">
        <v>11</v>
      </c>
      <c r="D6" s="8" t="s">
        <v>6</v>
      </c>
      <c r="E6" s="8" t="s">
        <v>153</v>
      </c>
      <c r="F6" s="11" t="s">
        <v>61</v>
      </c>
      <c r="G6" s="11" t="s">
        <v>18</v>
      </c>
      <c r="H6" s="11" t="s">
        <v>75</v>
      </c>
      <c r="I6" s="11" t="s">
        <v>89</v>
      </c>
      <c r="J6" s="11" t="s">
        <v>90</v>
      </c>
      <c r="K6" s="11" t="s">
        <v>91</v>
      </c>
      <c r="L6" s="11" t="s">
        <v>88</v>
      </c>
      <c r="M6" s="11" t="s">
        <v>102</v>
      </c>
      <c r="N6" s="11" t="s">
        <v>103</v>
      </c>
      <c r="O6" s="11" t="s">
        <v>221</v>
      </c>
      <c r="P6" s="11" t="s">
        <v>220</v>
      </c>
      <c r="Q6" s="11" t="s">
        <v>48</v>
      </c>
      <c r="R6" s="11" t="s">
        <v>26</v>
      </c>
      <c r="S6" s="11" t="s">
        <v>241</v>
      </c>
      <c r="T6" s="11" t="s">
        <v>26</v>
      </c>
      <c r="U6" s="11" t="s">
        <v>430</v>
      </c>
      <c r="V6" s="11" t="s">
        <v>431</v>
      </c>
      <c r="W6" s="11" t="s">
        <v>27</v>
      </c>
      <c r="X6" s="11" t="s">
        <v>242</v>
      </c>
      <c r="Y6" s="11" t="s">
        <v>105</v>
      </c>
      <c r="Z6" s="11" t="s">
        <v>105</v>
      </c>
      <c r="AA6" s="11" t="s">
        <v>105</v>
      </c>
      <c r="AB6" s="11" t="s">
        <v>155</v>
      </c>
      <c r="AC6" s="11" t="s">
        <v>156</v>
      </c>
      <c r="AF6" s="9" t="s">
        <v>79</v>
      </c>
      <c r="AG6" s="8" t="s">
        <v>10</v>
      </c>
      <c r="AH6" s="8" t="s">
        <v>11</v>
      </c>
      <c r="AI6" s="8" t="s">
        <v>6</v>
      </c>
      <c r="AJ6" s="8" t="s">
        <v>153</v>
      </c>
      <c r="AK6" s="11" t="s">
        <v>62</v>
      </c>
      <c r="AL6" s="11" t="s">
        <v>18</v>
      </c>
      <c r="AM6" s="11" t="s">
        <v>76</v>
      </c>
      <c r="AN6" s="11" t="s">
        <v>89</v>
      </c>
      <c r="AO6" s="11" t="s">
        <v>90</v>
      </c>
      <c r="AP6" s="11" t="s">
        <v>91</v>
      </c>
      <c r="AQ6" s="11" t="s">
        <v>88</v>
      </c>
      <c r="AR6" s="11" t="s">
        <v>33</v>
      </c>
      <c r="AS6" s="11" t="s">
        <v>92</v>
      </c>
      <c r="AT6" s="17" t="s">
        <v>93</v>
      </c>
      <c r="AU6" s="11" t="s">
        <v>40</v>
      </c>
      <c r="AV6" s="11" t="s">
        <v>38</v>
      </c>
      <c r="AW6" s="11" t="s">
        <v>41</v>
      </c>
      <c r="AX6" s="11" t="s">
        <v>42</v>
      </c>
      <c r="AY6" s="11" t="s">
        <v>43</v>
      </c>
      <c r="AZ6" s="11" t="s">
        <v>94</v>
      </c>
      <c r="BA6" s="17" t="s">
        <v>100</v>
      </c>
      <c r="BB6" s="17" t="s">
        <v>101</v>
      </c>
      <c r="BC6" s="17" t="s">
        <v>95</v>
      </c>
      <c r="BD6" s="11" t="s">
        <v>46</v>
      </c>
      <c r="BE6" s="11" t="s">
        <v>47</v>
      </c>
      <c r="BF6" s="11" t="s">
        <v>48</v>
      </c>
      <c r="BG6" s="17" t="s">
        <v>26</v>
      </c>
      <c r="BH6" s="11" t="s">
        <v>244</v>
      </c>
      <c r="BI6" s="11" t="s">
        <v>26</v>
      </c>
      <c r="BJ6" s="11" t="s">
        <v>430</v>
      </c>
      <c r="BK6" s="11" t="s">
        <v>431</v>
      </c>
      <c r="BL6" s="11" t="s">
        <v>27</v>
      </c>
      <c r="BM6" s="11" t="s">
        <v>104</v>
      </c>
      <c r="BN6" s="11" t="s">
        <v>105</v>
      </c>
      <c r="BO6" s="11" t="s">
        <v>105</v>
      </c>
      <c r="BP6" s="11" t="s">
        <v>105</v>
      </c>
      <c r="BQ6" s="11" t="s">
        <v>155</v>
      </c>
      <c r="BR6" s="11" t="s">
        <v>156</v>
      </c>
    </row>
    <row r="7" spans="1:70" s="6" customFormat="1" ht="18.75" x14ac:dyDescent="0.35">
      <c r="A7" s="6" t="s">
        <v>79</v>
      </c>
      <c r="B7" s="6" t="s">
        <v>79</v>
      </c>
      <c r="C7" s="6" t="s">
        <v>79</v>
      </c>
      <c r="D7" s="6" t="s">
        <v>79</v>
      </c>
      <c r="E7" s="6" t="s">
        <v>154</v>
      </c>
      <c r="F7" s="6" t="s">
        <v>126</v>
      </c>
      <c r="G7" s="6" t="s">
        <v>19</v>
      </c>
      <c r="H7" s="6" t="s">
        <v>25</v>
      </c>
      <c r="I7" s="6" t="s">
        <v>208</v>
      </c>
      <c r="J7" s="6" t="s">
        <v>207</v>
      </c>
      <c r="K7" s="6" t="s">
        <v>79</v>
      </c>
      <c r="L7" s="6" t="s">
        <v>79</v>
      </c>
      <c r="M7" s="6" t="s">
        <v>36</v>
      </c>
      <c r="N7" s="6" t="s">
        <v>37</v>
      </c>
      <c r="O7" s="6" t="s">
        <v>54</v>
      </c>
      <c r="P7" s="6" t="s">
        <v>34</v>
      </c>
      <c r="Q7" s="6" t="s">
        <v>34</v>
      </c>
      <c r="R7" s="6" t="s">
        <v>124</v>
      </c>
      <c r="S7" s="6" t="s">
        <v>249</v>
      </c>
      <c r="T7" s="6" t="s">
        <v>124</v>
      </c>
      <c r="U7" s="6" t="s">
        <v>125</v>
      </c>
      <c r="V7" s="6" t="s">
        <v>197</v>
      </c>
      <c r="W7" s="6" t="s">
        <v>54</v>
      </c>
      <c r="X7" s="6" t="s">
        <v>197</v>
      </c>
      <c r="Y7" s="6" t="s">
        <v>263</v>
      </c>
      <c r="Z7" s="6" t="s">
        <v>263</v>
      </c>
      <c r="AA7" s="6" t="s">
        <v>263</v>
      </c>
      <c r="AB7" s="6" t="s">
        <v>264</v>
      </c>
      <c r="AC7" s="6" t="s">
        <v>265</v>
      </c>
      <c r="AF7" s="6" t="s">
        <v>79</v>
      </c>
      <c r="AG7" s="6" t="s">
        <v>79</v>
      </c>
      <c r="AH7" s="6" t="s">
        <v>79</v>
      </c>
      <c r="AI7" s="6" t="s">
        <v>79</v>
      </c>
      <c r="AJ7" s="6" t="s">
        <v>154</v>
      </c>
      <c r="AK7" s="6" t="s">
        <v>126</v>
      </c>
      <c r="AL7" s="6" t="s">
        <v>19</v>
      </c>
      <c r="AM7" s="6" t="s">
        <v>25</v>
      </c>
      <c r="AN7" s="6" t="s">
        <v>36</v>
      </c>
      <c r="AO7" s="6" t="s">
        <v>35</v>
      </c>
      <c r="AP7" s="6" t="s">
        <v>79</v>
      </c>
      <c r="AQ7" s="6" t="s">
        <v>79</v>
      </c>
      <c r="AR7" s="6" t="s">
        <v>34</v>
      </c>
      <c r="AS7" s="6" t="s">
        <v>37</v>
      </c>
      <c r="AT7" s="6" t="s">
        <v>123</v>
      </c>
      <c r="AU7" s="6" t="s">
        <v>21</v>
      </c>
      <c r="AV7" s="6" t="s">
        <v>39</v>
      </c>
      <c r="AW7" s="6" t="s">
        <v>21</v>
      </c>
      <c r="AX7" s="6" t="s">
        <v>21</v>
      </c>
      <c r="AY7" s="6" t="s">
        <v>21</v>
      </c>
      <c r="AZ7" s="6" t="s">
        <v>35</v>
      </c>
      <c r="BA7" s="6" t="s">
        <v>44</v>
      </c>
      <c r="BB7" s="6" t="s">
        <v>44</v>
      </c>
      <c r="BC7" s="6" t="s">
        <v>35</v>
      </c>
      <c r="BD7" s="6" t="s">
        <v>54</v>
      </c>
      <c r="BE7" s="6" t="s">
        <v>34</v>
      </c>
      <c r="BF7" s="6" t="s">
        <v>34</v>
      </c>
      <c r="BG7" s="6" t="s">
        <v>127</v>
      </c>
      <c r="BH7" s="6" t="s">
        <v>245</v>
      </c>
      <c r="BI7" s="6" t="s">
        <v>127</v>
      </c>
      <c r="BJ7" s="6" t="s">
        <v>125</v>
      </c>
      <c r="BK7" s="6" t="s">
        <v>197</v>
      </c>
      <c r="BL7" s="6" t="s">
        <v>54</v>
      </c>
      <c r="BM7" s="6" t="s">
        <v>275</v>
      </c>
      <c r="BN7" s="6" t="s">
        <v>263</v>
      </c>
      <c r="BO7" s="6" t="s">
        <v>263</v>
      </c>
      <c r="BP7" s="6" t="s">
        <v>263</v>
      </c>
      <c r="BQ7" s="6" t="s">
        <v>264</v>
      </c>
      <c r="BR7" s="6" t="s">
        <v>265</v>
      </c>
    </row>
    <row r="8" spans="1:70" x14ac:dyDescent="0.25">
      <c r="F8" s="6"/>
      <c r="G8" s="6"/>
      <c r="H8" s="6"/>
      <c r="I8" s="6"/>
      <c r="J8" s="6"/>
      <c r="K8" s="6"/>
      <c r="L8" s="6"/>
      <c r="M8" s="6"/>
      <c r="N8" s="6"/>
      <c r="O8" s="6"/>
      <c r="P8" s="6"/>
      <c r="Q8" s="6"/>
      <c r="R8" s="6"/>
      <c r="S8" s="6"/>
      <c r="T8" s="6"/>
      <c r="U8" s="6"/>
      <c r="V8" s="6"/>
      <c r="W8" s="6"/>
      <c r="X8" s="6"/>
      <c r="Y8" s="6"/>
      <c r="Z8" s="6"/>
      <c r="AA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row>
    <row r="9" spans="1:70" x14ac:dyDescent="0.25">
      <c r="A9" t="str">
        <f>B9&amp;C9</f>
        <v>BisonEuropean (360 – 990 kg)</v>
      </c>
      <c r="B9" t="str">
        <f>'Conservation grazing tool'!C31</f>
        <v>Bison</v>
      </c>
      <c r="C9" t="str">
        <f>IF(ISTEXT('Conservation grazing tool'!D31)=TRUE,'Conservation grazing tool'!D31,"")</f>
        <v>European (360 – 990 kg)</v>
      </c>
      <c r="D9" t="e">
        <f>INDEX('Conservation grazing tool'!$C$20:$C$22,MATCH(MAX('Conservation grazing tool'!$D$20:$D$22),'Conservation grazing tool'!$D$20:$D$22,0))</f>
        <v>#N/A</v>
      </c>
      <c r="E9" s="6">
        <f>IF(ISNUMBER('Conservation grazing tool'!$D$20)=TRUE,'Conservation grazing tool'!$D$20,0)+IF(ISNUMBER('Conservation grazing tool'!$D$21)=TRUE,'Conservation grazing tool'!$D$21,0)+IF(ISNUMBER('Conservation grazing tool'!$D$22)=TRUE,'Conservation grazing tool'!$D$22,0)</f>
        <v>0</v>
      </c>
      <c r="F9" s="6">
        <f>IF(ISNUMBER('Conservation grazing tool'!F31)=TRUE,'Conservation grazing tool'!F31,0)</f>
        <v>0</v>
      </c>
      <c r="G9" s="6">
        <f>IF(ISNUMBER('Conservation grazing tool'!H31)=TRUE,'Conservation grazing tool'!H31*365/100,0)</f>
        <v>0</v>
      </c>
      <c r="H9" s="6">
        <f>INDEX('Livestock assumptions'!$E$8:$E$17,MATCH('Enteric methane'!A9,'Livestock assumptions'!$B$8:$B$17,0))</f>
        <v>675</v>
      </c>
      <c r="I9" s="6">
        <f>IFERROR(INDEX('Livestock factors - IPCC'!$G$9:$G$39,MATCH(A9,'Livestock factors - IPCC'!$B$9:$B$39,0))," ")</f>
        <v>0.32200000000000001</v>
      </c>
      <c r="J9" s="31">
        <f>IFERROR((H9^0.75)*I9," ")</f>
        <v>42.641620557985526</v>
      </c>
      <c r="K9" s="32" t="e">
        <f>INDEX('Habitat assumptions'!$D$7:$D$14,MATCH(D9,'Habitat assumptions'!$B$7:$B$14,0))</f>
        <v>#N/A</v>
      </c>
      <c r="L9" s="280" t="e">
        <f>A9&amp;K9</f>
        <v>#N/A</v>
      </c>
      <c r="M9" s="6" t="str">
        <f>IFERROR(INDEX('Livestock factors - IPCC'!$H$9:$H$39,MATCH(L9,'Livestock factors - IPCC'!$B$9:$B$39,0))," ")</f>
        <v xml:space="preserve"> </v>
      </c>
      <c r="N9" s="32" t="str">
        <f>IFERROR(IF(B9="Cattle",J9*M9,IF(B9="Bison",J9*M9,IF(B9="Water buffalo",J9*M9,M9*H9)))," ")</f>
        <v xml:space="preserve"> </v>
      </c>
      <c r="O9" s="6" t="e">
        <f>INDEX('Habitat assumptions'!$E$7:$E$14,MATCH('Enteric methane'!D9,'Habitat assumptions'!$B$7:$B$14,0))</f>
        <v>#N/A</v>
      </c>
      <c r="P9" s="31" t="e">
        <f>(1.123-(4.092*10^-3*O9)+(1.126*10^-5*O9^2)-(25.4/O9))</f>
        <v>#N/A</v>
      </c>
      <c r="Q9" s="32" t="e">
        <f>(1.164-(0.258)+(0.0327)-(37.4/O9))</f>
        <v>#N/A</v>
      </c>
      <c r="R9" s="33" t="str">
        <f>IFERROR((((J9+N9)/P9))/(O9/100)," ")</f>
        <v xml:space="preserve"> </v>
      </c>
      <c r="S9" s="279">
        <f>IFERROR(INDEX('Livestock assumptions'!$M$8:$M$17,MATCH(A9,'Livestock assumptions'!$B$8:$B$17,0)),"0")</f>
        <v>13.5</v>
      </c>
      <c r="T9" s="33">
        <f>S9*'GHG Factors'!$D$16</f>
        <v>249.07499999999999</v>
      </c>
      <c r="U9" s="34">
        <f>IF(B9="Equine",'Livestock factors - IPCC'!$F$9,IF(B9="Deer",'Livestock factors - IPCC'!$F$11,IF(B9="Sheep",'Livestock factors - IPCC'!$F$12,IF(B9="Cattle",'Livestock factors - IPCC'!$F$14,IF(B9="Water buffalo",'Livestock factors - IPCC'!$F$13,IF(B9="Bison",'Livestock factors - IPCC'!$F$15))))))</f>
        <v>78</v>
      </c>
      <c r="V9" s="33">
        <f>U9/365*G9</f>
        <v>0</v>
      </c>
      <c r="W9" s="6">
        <f>IFERROR(INDEX('Livestock factors - IPCC'!$I$9:$I$39,MATCH('Enteric methane'!A9,'Livestock factors - IPCC'!$B$9:$B$39,0))," ")</f>
        <v>7</v>
      </c>
      <c r="X9" s="34" t="str">
        <f>IFERROR((R9*(W9/100)*G9)/'GHG Factors'!$D$11," ")</f>
        <v xml:space="preserve"> </v>
      </c>
      <c r="Y9" s="34">
        <f>(F9*V9)/1000</f>
        <v>0</v>
      </c>
      <c r="Z9" s="34" t="str">
        <f>IFERROR((X9*F9)/1000,"-")</f>
        <v>-</v>
      </c>
      <c r="AA9" s="32">
        <f>IF(Z9="-",Y9,Z9)</f>
        <v>0</v>
      </c>
      <c r="AB9" s="34">
        <f>AA9*'GHG Factors'!$D$12</f>
        <v>0</v>
      </c>
      <c r="AC9" s="31" t="e">
        <f>AB9/E9</f>
        <v>#DIV/0!</v>
      </c>
      <c r="AF9" t="str">
        <f>AG9&amp;AH9</f>
        <v>BisonEuropean (360 – 990 kg)</v>
      </c>
      <c r="AG9" t="str">
        <f>'Conservation grazing tool'!C31</f>
        <v>Bison</v>
      </c>
      <c r="AH9" t="str">
        <f>IF(ISTEXT('Conservation grazing tool'!D31)=TRUE,'Conservation grazing tool'!D31,"")</f>
        <v>European (360 – 990 kg)</v>
      </c>
      <c r="AI9" t="e">
        <f>INDEX('Conservation grazing tool'!$C$20:$C$22,MATCH(MAX('Conservation grazing tool'!$D$20:$D$22),'Conservation grazing tool'!$D$20:$D$22,0))</f>
        <v>#N/A</v>
      </c>
      <c r="AJ9" s="6">
        <f>IF(ISNUMBER('Conservation grazing tool'!$D$20)=TRUE,'Conservation grazing tool'!$D$20,0)+IF(ISNUMBER('Conservation grazing tool'!$D$21)=TRUE,'Conservation grazing tool'!$D$21,0)+IF(ISNUMBER('Conservation grazing tool'!$D$22)=TRUE,'Conservation grazing tool'!$D$22,0)</f>
        <v>0</v>
      </c>
      <c r="AK9" s="6">
        <f>IF(ISNUMBER('Conservation grazing tool'!G31)=TRUE,'Conservation grazing tool'!G31,0)</f>
        <v>0</v>
      </c>
      <c r="AL9" s="6">
        <f>IF(ISNUMBER('Conservation grazing tool'!H31)=TRUE,'Conservation grazing tool'!H31*365/100,0)</f>
        <v>0</v>
      </c>
      <c r="AM9" s="6">
        <f>INDEX('Livestock assumptions'!$F$8:$F$17,MATCH('Enteric methane'!AF9,'Livestock assumptions'!$B$8:$B$17,0))</f>
        <v>270</v>
      </c>
      <c r="AN9" s="6">
        <f>IFERROR(INDEX('Livestock factors - IPCC'!$G$9:$G$39,MATCH(AF9,'Livestock factors - IPCC'!$B$9:$B$39,0))," ")</f>
        <v>0.32200000000000001</v>
      </c>
      <c r="AO9" s="32">
        <f>IFERROR(AM9^0.75*AN9," ")</f>
        <v>21.447599674186428</v>
      </c>
      <c r="AP9" s="32" t="e">
        <f>INDEX('Habitat assumptions'!$D$7:$D$14,MATCH(AI9,'Habitat assumptions'!$B$7:$B$14,0))</f>
        <v>#N/A</v>
      </c>
      <c r="AQ9" s="280" t="e">
        <f>AF9&amp;AP9</f>
        <v>#N/A</v>
      </c>
      <c r="AR9" s="6" t="str">
        <f>IFERROR(INDEX('Livestock factors - IPCC'!$H$9:$H$39,MATCH(AQ9,'Livestock factors - IPCC'!$B$9:$B$39,0))," ")</f>
        <v xml:space="preserve"> </v>
      </c>
      <c r="AS9" s="32" t="str">
        <f>IFERROR(IF(B9="Cattle",AO9*AR9,IF(B9="Bison",AO9*AR9,IF(B9="Water buffalo",AO9*AR9,AR9*AM9)))," ")</f>
        <v xml:space="preserve"> </v>
      </c>
      <c r="AT9" s="6">
        <f>IFERROR(IF(AG9="Sheep",0,INDEX('Livestock factors - IPCC'!$J$9:$J$39,MATCH(AF9,'Livestock factors - IPCC'!$B$9:$B$39,0)))," ")</f>
        <v>1</v>
      </c>
      <c r="AU9" s="6">
        <f>H9</f>
        <v>675</v>
      </c>
      <c r="AV9" s="6">
        <f>INDEX('Livestock assumptions'!$G$8:$G$17,MATCH(AF9,'Livestock assumptions'!$B$8:$B$17,0))</f>
        <v>0</v>
      </c>
      <c r="AW9" s="6">
        <f>INDEX('Livestock assumptions'!$H$8:$H$17,MATCH(AF9,'Livestock assumptions'!$B$8:$B$17,0))</f>
        <v>0</v>
      </c>
      <c r="AX9" s="6">
        <f>INDEX('Livestock assumptions'!$I$8:$I$17,MATCH(AF9,'Livestock assumptions'!$B$8:$B$17,0))</f>
        <v>0</v>
      </c>
      <c r="AY9" s="35">
        <f>AX9-AW9</f>
        <v>0</v>
      </c>
      <c r="AZ9" s="32">
        <f>IFERROR('GHG Factors'!$D$7*((AM9/(AT9*AU9))^0.75)*(AV9^1.097)," ")</f>
        <v>0</v>
      </c>
      <c r="BA9" s="32">
        <f>IF(AG9="Sheep",INDEX('Livestock factors - IPCC'!$J$9:$J$39,MATCH(AF9,'Livestock factors - IPCC'!$B$9:$B$39,0)),0)</f>
        <v>0</v>
      </c>
      <c r="BB9" s="32">
        <f>IF(AG9="Sheep",(INDEX('Livestock factors - IPCC'!$K$9:$K$39,MATCH(AF9,'Livestock factors - IPCC'!$B$9:$B$39,0))),0)</f>
        <v>0</v>
      </c>
      <c r="BC9" s="32">
        <f>(AY9*(BA9+0.5*BB9*(AW9+AX9)))/365</f>
        <v>0</v>
      </c>
      <c r="BD9" s="35" t="e">
        <f>INDEX('Habitat assumptions'!$E$7:$E$14,MATCH('Enteric methane'!AI9,'Habitat assumptions'!$B$7:$B$14,0))</f>
        <v>#N/A</v>
      </c>
      <c r="BE9" s="32" t="e">
        <f>(1.123-(4.092*10^-3*BD9)+(1.126*10^-5*BD9^2)-(25.4/BD9))</f>
        <v>#N/A</v>
      </c>
      <c r="BF9" s="32" t="e">
        <f>(1.164-(5.16*10^-3*BD9)+(1.308*10^-5*BD9^2))-(37.4/BD9)</f>
        <v>#N/A</v>
      </c>
      <c r="BG9" s="32" t="str">
        <f>IFERROR(IF(AG9="Sheep",(((AO9+AS9)/BE9)+(BC9/BF9))/(BD9/100),(((AO9+AS9)/BE9)+(AZ9/BF9))/(BD9/100))," ")</f>
        <v xml:space="preserve"> </v>
      </c>
      <c r="BH9" s="279">
        <f>IFERROR(INDEX('Livestock assumptions'!$N$8:$N$17,MATCH(AF9,'Livestock assumptions'!$B$8:$B$17,0)),"0")</f>
        <v>5.4</v>
      </c>
      <c r="BI9" s="33">
        <f>BH9*'GHG Factors'!$D$16</f>
        <v>99.63000000000001</v>
      </c>
      <c r="BJ9" s="34">
        <f>IF(AG9="Equine",'Livestock factors - IPCC'!$F$9,IF(AG9="Deer",'Livestock factors - IPCC'!$F$11,IF(AG9="Sheep",'Livestock factors - IPCC'!$F$12,IF(AG9="Cattle",'Livestock factors - IPCC'!$F$14,IF(AG9="Water buffalo",'Livestock factors - IPCC'!$F$13,IF(AG9="Bison",'Livestock factors - IPCC'!$F$15))))))</f>
        <v>78</v>
      </c>
      <c r="BK9" s="33">
        <f>BJ9/365*AL9</f>
        <v>0</v>
      </c>
      <c r="BL9" s="6">
        <f>IFERROR(INDEX('Livestock factors - IPCC'!$I$9:$I$39,MATCH('Enteric methane'!AF9,'Livestock factors - IPCC'!$B$9:$B$39,0))," ")</f>
        <v>7</v>
      </c>
      <c r="BM9" s="33" t="str">
        <f>IFERROR((BG9*(BL9/100)*AL9)/'GHG Factors'!$D$11," ")</f>
        <v xml:space="preserve"> </v>
      </c>
      <c r="BN9" s="34">
        <f>(AK9*BK9)/1000</f>
        <v>0</v>
      </c>
      <c r="BO9" s="34" t="str">
        <f>IFERROR((BM9*AK9)/1000,"-")</f>
        <v>-</v>
      </c>
      <c r="BP9" s="32">
        <f>IF(BO9="-",BN9,BO9)</f>
        <v>0</v>
      </c>
      <c r="BQ9" s="34">
        <f>BP9*'GHG Factors'!$D$12</f>
        <v>0</v>
      </c>
      <c r="BR9" s="31" t="e">
        <f>BQ9/AJ9</f>
        <v>#DIV/0!</v>
      </c>
    </row>
    <row r="10" spans="1:70" x14ac:dyDescent="0.25">
      <c r="A10" t="str">
        <f t="shared" ref="A10:A11" si="0">B10&amp;C10</f>
        <v>Water buffaloStandard (300 – 600 kg)</v>
      </c>
      <c r="B10" t="str">
        <f>'Conservation grazing tool'!C32</f>
        <v>Water buffalo</v>
      </c>
      <c r="C10" t="str">
        <f>IF(ISTEXT('Conservation grazing tool'!D32)=TRUE,'Conservation grazing tool'!D32,"")</f>
        <v>Standard (300 – 600 kg)</v>
      </c>
      <c r="D10" t="e">
        <f>INDEX('Conservation grazing tool'!$C$20:$C$22,MATCH(MAX('Conservation grazing tool'!$D$20:$D$22),'Conservation grazing tool'!$D$20:$D$22,0))</f>
        <v>#N/A</v>
      </c>
      <c r="E10" s="6">
        <f>IF(ISNUMBER('Conservation grazing tool'!$D$20)=TRUE,'Conservation grazing tool'!$D$20,0)+IF(ISNUMBER('Conservation grazing tool'!$D$21)=TRUE,'Conservation grazing tool'!$D$21,0)+IF(ISNUMBER('Conservation grazing tool'!$D$22)=TRUE,'Conservation grazing tool'!$D$22,0)</f>
        <v>0</v>
      </c>
      <c r="F10" s="6">
        <f>IF(ISNUMBER('Conservation grazing tool'!F32)=TRUE,'Conservation grazing tool'!F32,0)</f>
        <v>0</v>
      </c>
      <c r="G10" s="6">
        <f>IF(ISNUMBER('Conservation grazing tool'!H32)=TRUE,'Conservation grazing tool'!H32*365/100,0)</f>
        <v>0</v>
      </c>
      <c r="H10" s="6">
        <f>INDEX('Livestock assumptions'!$E$8:$E$17,MATCH('Enteric methane'!A10,'Livestock assumptions'!$B$8:$B$17,0))</f>
        <v>450</v>
      </c>
      <c r="I10" s="6">
        <f>IFERROR(INDEX('Livestock factors - IPCC'!$G$9:$G$39,MATCH(A10,'Livestock factors - IPCC'!$B$9:$B$39,0))," ")</f>
        <v>0.32200000000000001</v>
      </c>
      <c r="J10" s="31">
        <f>IFERROR((H10^0.75)*I10," ")</f>
        <v>31.460473665496067</v>
      </c>
      <c r="K10" s="32" t="e">
        <f>INDEX('Habitat assumptions'!$D$7:$D$14,MATCH(D10,'Habitat assumptions'!$B$7:$B$14,0))</f>
        <v>#N/A</v>
      </c>
      <c r="L10" s="280" t="e">
        <f t="shared" ref="L10:L11" si="1">A10&amp;K10</f>
        <v>#N/A</v>
      </c>
      <c r="M10" s="6" t="str">
        <f>IFERROR(INDEX('Livestock factors - IPCC'!$H$9:$H$39,MATCH(L10,'Livestock factors - IPCC'!$B$9:$B$39,0))," ")</f>
        <v xml:space="preserve"> </v>
      </c>
      <c r="N10" s="31" t="str">
        <f>IFERROR(IF(B10="Cattle",J10*M10,IF(B10="Bison",J10*M10,IF(B10="Water buffalo",J10*M10,M10*H10)))," ")</f>
        <v xml:space="preserve"> </v>
      </c>
      <c r="O10" s="6" t="e">
        <f>INDEX('Habitat assumptions'!$E$7:$E$14,MATCH('Enteric methane'!D10,'Habitat assumptions'!$B$7:$B$14,0))</f>
        <v>#N/A</v>
      </c>
      <c r="P10" s="31" t="e">
        <f>(1.123-(4.092*10^-3*O10)+(1.126*10^-5*O10^2)-(25.4/O10))</f>
        <v>#N/A</v>
      </c>
      <c r="Q10" s="32" t="e">
        <f t="shared" ref="Q10:Q11" si="2">(1.164-(0.258)+(0.0327)-(37.4/O10))</f>
        <v>#N/A</v>
      </c>
      <c r="R10" s="33" t="str">
        <f>IFERROR((((J10+N10)/P10))/(O10/100)," ")</f>
        <v xml:space="preserve"> </v>
      </c>
      <c r="S10" s="279">
        <f>IFERROR(INDEX('Livestock assumptions'!$M$8:$M$17,MATCH(A10,'Livestock assumptions'!$B$8:$B$17,0)),"0")</f>
        <v>9</v>
      </c>
      <c r="T10" s="33">
        <f>S10*'GHG Factors'!$D$16</f>
        <v>166.04999999999998</v>
      </c>
      <c r="U10" s="34">
        <f>IF(B10="Equine",'Livestock factors - IPCC'!$F$9,IF(B10="Deer",'Livestock factors - IPCC'!$F$11,IF(B10="Sheep",'Livestock factors - IPCC'!$F$12,IF(B10="Cattle",'Livestock factors - IPCC'!$F$14,IF(B10="Water buffalo",'Livestock factors - IPCC'!$F$13,IF(B10="Bison",'Livestock factors - IPCC'!$F$15))))))</f>
        <v>78</v>
      </c>
      <c r="V10" s="33">
        <f>U10/365*G10</f>
        <v>0</v>
      </c>
      <c r="W10" s="6">
        <f>IFERROR(INDEX('Livestock factors - IPCC'!$I$9:$I$39,MATCH('Enteric methane'!A10,'Livestock factors - IPCC'!$B$9:$B$39,0))," ")</f>
        <v>7</v>
      </c>
      <c r="X10" s="34" t="str">
        <f>IFERROR((R10*(W10/100)*G10)/'GHG Factors'!$D$11," ")</f>
        <v xml:space="preserve"> </v>
      </c>
      <c r="Y10" s="34">
        <f t="shared" ref="Y10:Y11" si="3">(F10*V10)/1000</f>
        <v>0</v>
      </c>
      <c r="Z10" s="34" t="str">
        <f t="shared" ref="Z10:Z11" si="4">IFERROR((X10*F10)/1000,"-")</f>
        <v>-</v>
      </c>
      <c r="AA10" s="32">
        <f t="shared" ref="AA10:AA11" si="5">IF(Z10="-",Y10,Z10)</f>
        <v>0</v>
      </c>
      <c r="AB10" s="34">
        <f>AA10*'GHG Factors'!$D$12</f>
        <v>0</v>
      </c>
      <c r="AC10" s="31" t="e">
        <f>AB10/E10</f>
        <v>#DIV/0!</v>
      </c>
      <c r="AF10" t="str">
        <f t="shared" ref="AF10:AF11" si="6">AG10&amp;AH10</f>
        <v>Water buffaloStandard (300 – 600 kg)</v>
      </c>
      <c r="AG10" t="str">
        <f>'Conservation grazing tool'!C32</f>
        <v>Water buffalo</v>
      </c>
      <c r="AH10" t="str">
        <f>IF(ISTEXT('Conservation grazing tool'!D32)=TRUE,'Conservation grazing tool'!D32,"")</f>
        <v>Standard (300 – 600 kg)</v>
      </c>
      <c r="AI10" t="e">
        <f>INDEX('Conservation grazing tool'!$C$20:$C$22,MATCH(MAX('Conservation grazing tool'!$D$20:$D$22),'Conservation grazing tool'!$D$20:$D$22,0))</f>
        <v>#N/A</v>
      </c>
      <c r="AJ10" s="6">
        <f>IF(ISNUMBER('Conservation grazing tool'!$D$20)=TRUE,'Conservation grazing tool'!$D$20,0)+IF(ISNUMBER('Conservation grazing tool'!$D$21)=TRUE,'Conservation grazing tool'!$D$21,0)+IF(ISNUMBER('Conservation grazing tool'!$D$22)=TRUE,'Conservation grazing tool'!$D$22,0)</f>
        <v>0</v>
      </c>
      <c r="AK10" s="6">
        <f>IF(ISNUMBER('Conservation grazing tool'!G32)=TRUE,'Conservation grazing tool'!G32,0)</f>
        <v>0</v>
      </c>
      <c r="AL10" s="6">
        <f>IF(ISNUMBER('Conservation grazing tool'!H32)=TRUE,'Conservation grazing tool'!H32*365/100,0)</f>
        <v>0</v>
      </c>
      <c r="AM10" s="6">
        <f>INDEX('Livestock assumptions'!$F$8:$F$17,MATCH('Enteric methane'!AF10,'Livestock assumptions'!$B$8:$B$17,0))</f>
        <v>180</v>
      </c>
      <c r="AN10" s="6">
        <f>IFERROR(INDEX('Livestock factors - IPCC'!$G$9:$G$39,MATCH(AF10,'Livestock factors - IPCC'!$B$9:$B$39,0))," ")</f>
        <v>0.32200000000000001</v>
      </c>
      <c r="AO10" s="32">
        <f t="shared" ref="AO10:AO11" si="7">IFERROR(AM10^0.75*AN10," ")</f>
        <v>15.823780520261751</v>
      </c>
      <c r="AP10" s="32" t="e">
        <f>INDEX('Habitat assumptions'!$D$7:$D$14,MATCH(AI10,'Habitat assumptions'!$B$7:$B$14,0))</f>
        <v>#N/A</v>
      </c>
      <c r="AQ10" s="280" t="e">
        <f t="shared" ref="AQ10:AQ11" si="8">AF10&amp;AP10</f>
        <v>#N/A</v>
      </c>
      <c r="AR10" s="6" t="str">
        <f>IFERROR(INDEX('Livestock factors - IPCC'!$H$9:$H$39,MATCH(AQ10,'Livestock factors - IPCC'!$B$9:$B$39,0))," ")</f>
        <v xml:space="preserve"> </v>
      </c>
      <c r="AS10" s="32" t="str">
        <f>IFERROR(IF(B10="Cattle",AO10*AR10,IF(B10="Bison",AO10*AR10,IF(B10="Water buffalo",AO10*AR10,AR10*AM10)))," ")</f>
        <v xml:space="preserve"> </v>
      </c>
      <c r="AT10" s="6">
        <f>IFERROR(IF(AG10="Sheep",0,INDEX('Livestock factors - IPCC'!$J$9:$J$39,MATCH(AF10,'Livestock factors - IPCC'!$B$9:$B$39,0)))," ")</f>
        <v>1</v>
      </c>
      <c r="AU10" s="6">
        <f>H10</f>
        <v>450</v>
      </c>
      <c r="AV10" s="6">
        <f>INDEX('Livestock assumptions'!$G$8:$G$17,MATCH(AF10,'Livestock assumptions'!$B$8:$B$17,0))</f>
        <v>0</v>
      </c>
      <c r="AW10" s="6">
        <f>INDEX('Livestock assumptions'!$H$8:$H$17,MATCH(AF10,'Livestock assumptions'!$B$8:$B$17,0))</f>
        <v>0</v>
      </c>
      <c r="AX10" s="6">
        <f>INDEX('Livestock assumptions'!$I$8:$I$17,MATCH(AF10,'Livestock assumptions'!$B$8:$B$17,0))</f>
        <v>0</v>
      </c>
      <c r="AY10" s="35">
        <f t="shared" ref="AY10:AY11" si="9">AX10-AW10</f>
        <v>0</v>
      </c>
      <c r="AZ10" s="32">
        <f>IFERROR('GHG Factors'!$D$7*((AM10/(AT10*AU10))^0.75)*(AV10^1.097)," ")</f>
        <v>0</v>
      </c>
      <c r="BA10" s="32">
        <f>IF(AG10="Sheep",INDEX('Livestock factors - IPCC'!$J$9:$J$39,MATCH(AF10,'Livestock factors - IPCC'!$B$9:$B$39,0)),0)</f>
        <v>0</v>
      </c>
      <c r="BB10" s="32">
        <f>IF(AG10="Sheep",(INDEX('Livestock factors - IPCC'!$K$9:$K$39,MATCH(AF10,'Livestock factors - IPCC'!$B$9:$B$39,0))),0)</f>
        <v>0</v>
      </c>
      <c r="BC10" s="32">
        <f t="shared" ref="BC10:BC11" si="10">(AY10*(BA10+0.5*BB10*(AW10+AX10)))/365</f>
        <v>0</v>
      </c>
      <c r="BD10" s="35" t="e">
        <f>INDEX('Habitat assumptions'!$E$7:$E$14,MATCH('Enteric methane'!AI10,'Habitat assumptions'!$B$7:$B$14,0))</f>
        <v>#N/A</v>
      </c>
      <c r="BE10" s="32" t="e">
        <f>(1.123-(4.092*10^-3*BD10)+(1.126*10^-5*BD10^2)-(25.4/BD10))</f>
        <v>#N/A</v>
      </c>
      <c r="BF10" s="32" t="e">
        <f>(1.164-(5.16*10^-3*BD10)+(1.308*10^-5*BD10^2))-(37.4/BD10)</f>
        <v>#N/A</v>
      </c>
      <c r="BG10" s="32" t="str">
        <f t="shared" ref="BG10:BG11" si="11">IFERROR(IF(AG10="Sheep",(((AO10+AS10)/BE10)+(BC10/BF10))/(BD10/100),(((AO10+AS10)/BE10)+(AZ10/BF10))/(BD10/100))," ")</f>
        <v xml:space="preserve"> </v>
      </c>
      <c r="BH10" s="279">
        <f>IFERROR(INDEX('Livestock assumptions'!$N$8:$N$17,MATCH(AF10,'Livestock assumptions'!$B$8:$B$17,0)),"0")</f>
        <v>3.6</v>
      </c>
      <c r="BI10" s="33">
        <f>BH10*'GHG Factors'!$D$16</f>
        <v>66.42</v>
      </c>
      <c r="BJ10" s="34">
        <f>IF(AG10="Equine",'Livestock factors - IPCC'!$F$9,IF(AG10="Deer",'Livestock factors - IPCC'!$F$11,IF(AG10="Sheep",'Livestock factors - IPCC'!$F$12,IF(AG10="Cattle",'Livestock factors - IPCC'!$F$14,IF(AG10="Water buffalo",'Livestock factors - IPCC'!$F$13,IF(AG10="Bison",'Livestock factors - IPCC'!$F$15))))))</f>
        <v>78</v>
      </c>
      <c r="BK10" s="33">
        <f t="shared" ref="BK10:BK11" si="12">BJ10/365*AL10</f>
        <v>0</v>
      </c>
      <c r="BL10" s="6">
        <f>IFERROR(INDEX('Livestock factors - IPCC'!$I$9:$I$39,MATCH('Enteric methane'!AF10,'Livestock factors - IPCC'!$B$9:$B$39,0))," ")</f>
        <v>7</v>
      </c>
      <c r="BM10" s="33" t="str">
        <f>IFERROR((BG10*(BL10/100)*AL10)/'GHG Factors'!$D$11," ")</f>
        <v xml:space="preserve"> </v>
      </c>
      <c r="BN10" s="34">
        <f t="shared" ref="BN10:BN11" si="13">(AK10*BK10)/1000</f>
        <v>0</v>
      </c>
      <c r="BO10" s="34" t="str">
        <f t="shared" ref="BO10:BO11" si="14">IFERROR((BM10*AK10)/1000,"-")</f>
        <v>-</v>
      </c>
      <c r="BP10" s="32">
        <f t="shared" ref="BP10:BP11" si="15">IF(BO10="-",BN10,BO10)</f>
        <v>0</v>
      </c>
      <c r="BQ10" s="34">
        <f>BP10*'GHG Factors'!$D$12</f>
        <v>0</v>
      </c>
      <c r="BR10" s="31" t="e">
        <f>BQ10/AJ10</f>
        <v>#DIV/0!</v>
      </c>
    </row>
    <row r="11" spans="1:70" x14ac:dyDescent="0.25">
      <c r="A11" t="str">
        <f t="shared" si="0"/>
        <v>CattleMedium (500 kg - 700 kg)</v>
      </c>
      <c r="B11" t="str">
        <f>'Conservation grazing tool'!C33</f>
        <v>Cattle</v>
      </c>
      <c r="C11" t="str">
        <f>IF(ISTEXT('Conservation grazing tool'!D33)=TRUE,'Conservation grazing tool'!D33,"")</f>
        <v>Medium (500 kg - 700 kg)</v>
      </c>
      <c r="D11" t="e">
        <f>INDEX('Conservation grazing tool'!$C$20:$C$22,MATCH(MAX('Conservation grazing tool'!$D$20:$D$22),'Conservation grazing tool'!$D$20:$D$22,0))</f>
        <v>#N/A</v>
      </c>
      <c r="E11" s="6">
        <f>IF(ISNUMBER('Conservation grazing tool'!$D$20)=TRUE,'Conservation grazing tool'!$D$20,0)+IF(ISNUMBER('Conservation grazing tool'!$D$21)=TRUE,'Conservation grazing tool'!$D$21,0)+IF(ISNUMBER('Conservation grazing tool'!$D$22)=TRUE,'Conservation grazing tool'!$D$22,0)</f>
        <v>0</v>
      </c>
      <c r="F11" s="6">
        <f>IF(ISNUMBER('Conservation grazing tool'!F33)=TRUE,'Conservation grazing tool'!F33,0)</f>
        <v>0</v>
      </c>
      <c r="G11" s="6">
        <f>IF(ISNUMBER('Conservation grazing tool'!H33)=TRUE,'Conservation grazing tool'!H33*365/100,0)</f>
        <v>0</v>
      </c>
      <c r="H11" s="6">
        <f>INDEX('Livestock assumptions'!$E$8:$E$17,MATCH('Enteric methane'!A11,'Livestock assumptions'!$B$8:$B$17,0))</f>
        <v>500</v>
      </c>
      <c r="I11" s="6">
        <f>IFERROR(INDEX('Livestock factors - IPCC'!$G$9:$G$39,MATCH(A11,'Livestock factors - IPCC'!$B$9:$B$39,0))," ")</f>
        <v>0.32200000000000001</v>
      </c>
      <c r="J11" s="32">
        <f t="shared" ref="J11" si="16">IFERROR((H11^0.75)*I11," ")</f>
        <v>34.047354682786171</v>
      </c>
      <c r="K11" s="32" t="e">
        <f>INDEX('Habitat assumptions'!$D$7:$D$14,MATCH(D11,'Habitat assumptions'!$B$7:$B$14,0))</f>
        <v>#N/A</v>
      </c>
      <c r="L11" s="280" t="e">
        <f t="shared" si="1"/>
        <v>#N/A</v>
      </c>
      <c r="M11" s="6" t="str">
        <f>IFERROR(INDEX('Livestock factors - IPCC'!$H$9:$H$39,MATCH(L11,'Livestock factors - IPCC'!$B$9:$B$39,0))," ")</f>
        <v xml:space="preserve"> </v>
      </c>
      <c r="N11" s="32" t="str">
        <f t="shared" ref="N11" si="17">IFERROR(IF(B11="Cattle",J11*M11,IF(B11="Bison",J11*M11,IF(B11="Water buffalo",J11*M11,M11*H11)))," ")</f>
        <v xml:space="preserve"> </v>
      </c>
      <c r="O11" s="35" t="e">
        <f>INDEX('Habitat assumptions'!$E$7:$E$14,MATCH('Enteric methane'!D11,'Habitat assumptions'!$B$7:$B$14,0))</f>
        <v>#N/A</v>
      </c>
      <c r="P11" s="32" t="e">
        <f t="shared" ref="P11" si="18">(1.123-(4.092*10^-3*O11)+(1.126*10^-5*O11^2)-(25.4/O11))</f>
        <v>#N/A</v>
      </c>
      <c r="Q11" s="32" t="e">
        <f t="shared" si="2"/>
        <v>#N/A</v>
      </c>
      <c r="R11" s="33" t="str">
        <f>IFERROR((((J11+N11)/P11))/(O11/100)," ")</f>
        <v xml:space="preserve"> </v>
      </c>
      <c r="S11" s="279">
        <f>IFERROR(INDEX('Livestock assumptions'!$M$8:$M$17,MATCH(A11,'Livestock assumptions'!$B$8:$B$17,0)),"0")</f>
        <v>10</v>
      </c>
      <c r="T11" s="33">
        <f>S11*'GHG Factors'!$D$16</f>
        <v>184.5</v>
      </c>
      <c r="U11" s="34">
        <f>IF(B11="Equine",'Livestock factors - IPCC'!$F$9,IF(B11="Deer",'Livestock factors - IPCC'!$F$11,IF(B11="Sheep",'Livestock factors - IPCC'!$F$12,IF(B11="Cattle",'Livestock factors - IPCC'!$F$14,IF(B11="Water buffalo",'Livestock factors - IPCC'!$F$13,IF(B11="Bison",'Livestock factors - IPCC'!$F$15))))))</f>
        <v>52</v>
      </c>
      <c r="V11" s="33">
        <f>U11/365*G11</f>
        <v>0</v>
      </c>
      <c r="W11" s="6">
        <f>IFERROR(INDEX('Livestock factors - IPCC'!$I$9:$I$39,MATCH('Enteric methane'!A11,'Livestock factors - IPCC'!$B$9:$B$39,0))," ")</f>
        <v>7</v>
      </c>
      <c r="X11" s="34" t="str">
        <f>IFERROR((R11*(W11/100)*G11)/'GHG Factors'!$D$11," ")</f>
        <v xml:space="preserve"> </v>
      </c>
      <c r="Y11" s="34">
        <f t="shared" si="3"/>
        <v>0</v>
      </c>
      <c r="Z11" s="34" t="str">
        <f t="shared" si="4"/>
        <v>-</v>
      </c>
      <c r="AA11" s="32">
        <f t="shared" si="5"/>
        <v>0</v>
      </c>
      <c r="AB11" s="34">
        <f>AA11*'GHG Factors'!$D$12</f>
        <v>0</v>
      </c>
      <c r="AC11" s="31" t="e">
        <f>AB11/E11</f>
        <v>#DIV/0!</v>
      </c>
      <c r="AF11" t="str">
        <f t="shared" si="6"/>
        <v>CattleMedium (500 kg - 700 kg)</v>
      </c>
      <c r="AG11" t="str">
        <f>'Conservation grazing tool'!C33</f>
        <v>Cattle</v>
      </c>
      <c r="AH11" t="str">
        <f>IF(ISTEXT('Conservation grazing tool'!D33)=TRUE,'Conservation grazing tool'!D33,"")</f>
        <v>Medium (500 kg - 700 kg)</v>
      </c>
      <c r="AI11" t="e">
        <f>INDEX('Conservation grazing tool'!$C$20:$C$22,MATCH(MAX('Conservation grazing tool'!$D$20:$D$22),'Conservation grazing tool'!$D$20:$D$22,0))</f>
        <v>#N/A</v>
      </c>
      <c r="AJ11" s="6">
        <f>IF(ISNUMBER('Conservation grazing tool'!$D$20)=TRUE,'Conservation grazing tool'!$D$20,0)+IF(ISNUMBER('Conservation grazing tool'!$D$21)=TRUE,'Conservation grazing tool'!$D$21,0)+IF(ISNUMBER('Conservation grazing tool'!$D$22)=TRUE,'Conservation grazing tool'!$D$22,0)</f>
        <v>0</v>
      </c>
      <c r="AK11" s="6">
        <f>IF(ISNUMBER('Conservation grazing tool'!G33)=TRUE,'Conservation grazing tool'!G33,0)</f>
        <v>0</v>
      </c>
      <c r="AL11" s="6">
        <f>IF(ISNUMBER('Conservation grazing tool'!H33)=TRUE,'Conservation grazing tool'!H33*365/100,0)</f>
        <v>0</v>
      </c>
      <c r="AM11" s="6">
        <f>INDEX('Livestock assumptions'!$F$8:$F$17,MATCH('Enteric methane'!AF11,'Livestock assumptions'!$B$8:$B$17,0))</f>
        <v>200</v>
      </c>
      <c r="AN11" s="6">
        <f>IFERROR(INDEX('Livestock factors - IPCC'!$G$9:$G$39,MATCH(AF11,'Livestock factors - IPCC'!$B$9:$B$39,0))," ")</f>
        <v>0.32200000000000001</v>
      </c>
      <c r="AO11" s="32">
        <f t="shared" si="7"/>
        <v>17.124912788162856</v>
      </c>
      <c r="AP11" s="32" t="e">
        <f>INDEX('Habitat assumptions'!$D$7:$D$14,MATCH(AI11,'Habitat assumptions'!$B$7:$B$14,0))</f>
        <v>#N/A</v>
      </c>
      <c r="AQ11" s="280" t="e">
        <f t="shared" si="8"/>
        <v>#N/A</v>
      </c>
      <c r="AR11" s="6" t="str">
        <f>IFERROR(INDEX('Livestock factors - IPCC'!$H$9:$H$39,MATCH(AQ11,'Livestock factors - IPCC'!$B$9:$B$39,0))," ")</f>
        <v xml:space="preserve"> </v>
      </c>
      <c r="AS11" s="32" t="str">
        <f>IFERROR(IF(B11="Cattle",AO11*AR11,IF(B11="Bison",AO11*AR11,IF(B11="Water buffalo",AO11*AR11,AR11*AM11)))," ")</f>
        <v xml:space="preserve"> </v>
      </c>
      <c r="AT11" s="6">
        <f>IFERROR(IF(AG11="Sheep",0,INDEX('Livestock factors - IPCC'!$J$9:$J$39,MATCH(AF11,'Livestock factors - IPCC'!$B$9:$B$39,0)))," ")</f>
        <v>1</v>
      </c>
      <c r="AU11" s="6">
        <f>H11</f>
        <v>500</v>
      </c>
      <c r="AV11" s="6">
        <f>INDEX('Livestock assumptions'!$G$8:$G$17,MATCH(AF11,'Livestock assumptions'!$B$8:$B$17,0))</f>
        <v>1.1000000000000001</v>
      </c>
      <c r="AW11" s="6">
        <f>INDEX('Livestock assumptions'!$H$8:$H$17,MATCH(AF11,'Livestock assumptions'!$B$8:$B$17,0))</f>
        <v>0</v>
      </c>
      <c r="AX11" s="6">
        <f>INDEX('Livestock assumptions'!$I$8:$I$17,MATCH(AF11,'Livestock assumptions'!$B$8:$B$17,0))</f>
        <v>0</v>
      </c>
      <c r="AY11" s="35">
        <f t="shared" si="9"/>
        <v>0</v>
      </c>
      <c r="AZ11" s="32">
        <f>IFERROR('GHG Factors'!$D$7*((AM11/(AT11*AU11))^0.75)*(AV11^1.097)," ")</f>
        <v>12.296176367686259</v>
      </c>
      <c r="BA11" s="32">
        <f>IF(AG11="Sheep",INDEX('Livestock factors - IPCC'!$J$9:$J$39,MATCH(AF11,'Livestock factors - IPCC'!$B$9:$B$39,0)),0)</f>
        <v>0</v>
      </c>
      <c r="BB11" s="32">
        <f>IF(AG11="Sheep",(INDEX('Livestock factors - IPCC'!$K$9:$K$39,MATCH(AF11,'Livestock factors - IPCC'!$B$9:$B$39,0))),0)</f>
        <v>0</v>
      </c>
      <c r="BC11" s="32">
        <f t="shared" si="10"/>
        <v>0</v>
      </c>
      <c r="BD11" s="35" t="e">
        <f>INDEX('Habitat assumptions'!$E$7:$E$14,MATCH('Enteric methane'!AI11,'Habitat assumptions'!$B$7:$B$14,0))</f>
        <v>#N/A</v>
      </c>
      <c r="BE11" s="32" t="e">
        <f t="shared" ref="BE11" si="19">(1.123-(4.092*10^-3*BD11)+(1.126*10^-5*BD11^2)-(25.4/BD11))</f>
        <v>#N/A</v>
      </c>
      <c r="BF11" s="32" t="e">
        <f t="shared" ref="BF11" si="20">(1.164-(5.16*10^-3*BD11)+(1.308*10^-5*BD11^2))-(37.4/BD11)</f>
        <v>#N/A</v>
      </c>
      <c r="BG11" s="32" t="str">
        <f t="shared" si="11"/>
        <v xml:space="preserve"> </v>
      </c>
      <c r="BH11" s="279">
        <f>IFERROR(INDEX('Livestock assumptions'!$N$8:$N$17,MATCH(AF11,'Livestock assumptions'!$B$8:$B$17,0)),"0")</f>
        <v>4</v>
      </c>
      <c r="BI11" s="33">
        <f>BH11*'GHG Factors'!$D$16</f>
        <v>73.8</v>
      </c>
      <c r="BJ11" s="34">
        <f>IF(AG11="Equine",'Livestock factors - IPCC'!$F$9,IF(AG11="Deer",'Livestock factors - IPCC'!$F$11,IF(AG11="Sheep",'Livestock factors - IPCC'!$F$12,IF(AG11="Cattle",'Livestock factors - IPCC'!$F$14,IF(AG11="Water buffalo",'Livestock factors - IPCC'!$F$13,IF(AG11="Bison",'Livestock factors - IPCC'!$F$15))))))</f>
        <v>52</v>
      </c>
      <c r="BK11" s="33">
        <f t="shared" si="12"/>
        <v>0</v>
      </c>
      <c r="BL11" s="6">
        <f>IFERROR(INDEX('Livestock factors - IPCC'!$I$9:$I$39,MATCH('Enteric methane'!AF11,'Livestock factors - IPCC'!$B$9:$B$39,0))," ")</f>
        <v>7</v>
      </c>
      <c r="BM11" s="33" t="str">
        <f>IFERROR((BG11*(BL11/100)*AL11)/'GHG Factors'!$D$11," ")</f>
        <v xml:space="preserve"> </v>
      </c>
      <c r="BN11" s="34">
        <f t="shared" si="13"/>
        <v>0</v>
      </c>
      <c r="BO11" s="34" t="str">
        <f t="shared" si="14"/>
        <v>-</v>
      </c>
      <c r="BP11" s="32">
        <f t="shared" si="15"/>
        <v>0</v>
      </c>
      <c r="BQ11" s="34">
        <f>BP11*'GHG Factors'!$D$12</f>
        <v>0</v>
      </c>
      <c r="BR11" s="31" t="e">
        <f>BQ11/AJ11</f>
        <v>#DIV/0!</v>
      </c>
    </row>
    <row r="12" spans="1:70" x14ac:dyDescent="0.25">
      <c r="AB12" s="34"/>
      <c r="AC12" s="31"/>
      <c r="BP12" s="2"/>
    </row>
    <row r="14" spans="1:70" x14ac:dyDescent="0.25">
      <c r="S14" s="281"/>
    </row>
    <row r="15" spans="1:70" x14ac:dyDescent="0.25">
      <c r="B15" s="10"/>
      <c r="S15" s="281"/>
    </row>
    <row r="16" spans="1:70" x14ac:dyDescent="0.25">
      <c r="R16" s="10"/>
      <c r="T16" s="10"/>
      <c r="U16" s="10"/>
      <c r="V16" s="10"/>
    </row>
    <row r="17" ht="60" customHeight="1" x14ac:dyDescent="0.25"/>
  </sheetData>
  <sheetProtection algorithmName="SHA-512" hashValue="JWEeDUGNZzdySNDMqBG0nXSM2PHr8mqcbZRV8grCsD2Kdy503yHu2oiDjy3ulyhbexQCZwNAxxa+Sm+AYeK9ug==" saltValue="vRz491z1STwfe3ME8aGcCA==" spinCount="100000" sheet="1" objects="1" scenarios="1"/>
  <mergeCells count="12">
    <mergeCell ref="BP1:BR1"/>
    <mergeCell ref="U1:V1"/>
    <mergeCell ref="BD1:BE1"/>
    <mergeCell ref="BL1:BM1"/>
    <mergeCell ref="W1:X1"/>
    <mergeCell ref="AT1:BC1"/>
    <mergeCell ref="I1:J1"/>
    <mergeCell ref="O1:P1"/>
    <mergeCell ref="K1:N1"/>
    <mergeCell ref="AP1:AS1"/>
    <mergeCell ref="AN1:AO1"/>
    <mergeCell ref="AA1:AC1"/>
  </mergeCells>
  <phoneticPr fontId="5" type="noConversion"/>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2ED1-FA82-4BF6-9E7A-F2A974D63DB7}">
  <sheetPr codeName="Sheet5">
    <tabColor theme="9"/>
  </sheetPr>
  <dimension ref="A1:BH12"/>
  <sheetViews>
    <sheetView topLeftCell="C1" workbookViewId="0">
      <selection activeCell="L9" sqref="L9"/>
    </sheetView>
  </sheetViews>
  <sheetFormatPr defaultColWidth="9.140625" defaultRowHeight="15" x14ac:dyDescent="0.25"/>
  <cols>
    <col min="1" max="1" width="28.42578125" style="29" customWidth="1"/>
    <col min="2" max="2" width="9.140625" style="29"/>
    <col min="3" max="3" width="21.140625" style="29" customWidth="1"/>
    <col min="4" max="4" width="20.85546875" style="29" bestFit="1" customWidth="1"/>
    <col min="5" max="5" width="20.85546875" style="88" customWidth="1"/>
    <col min="6" max="6" width="14.140625" style="29" customWidth="1"/>
    <col min="7" max="7" width="15.5703125" style="29" customWidth="1"/>
    <col min="8" max="10" width="13.85546875" style="29" customWidth="1"/>
    <col min="11" max="11" width="18.5703125" style="29" customWidth="1"/>
    <col min="12" max="12" width="18.42578125" style="29" customWidth="1"/>
    <col min="13" max="13" width="21.140625" style="29" customWidth="1"/>
    <col min="14" max="14" width="29.5703125" style="29" customWidth="1"/>
    <col min="15" max="20" width="25.5703125" style="29" customWidth="1"/>
    <col min="21" max="21" width="32.42578125" style="29" customWidth="1"/>
    <col min="22" max="22" width="11.140625" style="29" customWidth="1"/>
    <col min="23" max="23" width="25.85546875" style="29" customWidth="1"/>
    <col min="24" max="24" width="24.5703125" style="29" customWidth="1"/>
    <col min="25" max="25" width="16.140625" style="29" customWidth="1"/>
    <col min="26" max="26" width="10.140625" style="29" customWidth="1"/>
    <col min="27" max="27" width="9.140625" style="29" customWidth="1"/>
    <col min="28" max="28" width="11.85546875" style="29" customWidth="1"/>
    <col min="29" max="40" width="9.140625" style="29"/>
    <col min="41" max="41" width="30.42578125" style="29" bestFit="1" customWidth="1"/>
    <col min="42" max="42" width="20" style="29" bestFit="1" customWidth="1"/>
    <col min="43" max="43" width="20.42578125" style="29" customWidth="1"/>
    <col min="44" max="44" width="21.42578125" style="29" customWidth="1"/>
    <col min="45" max="45" width="24.5703125" style="29" bestFit="1" customWidth="1"/>
    <col min="46" max="46" width="20.5703125" style="29" customWidth="1"/>
    <col min="47" max="47" width="15.85546875" style="29" customWidth="1"/>
    <col min="48" max="48" width="28.85546875" style="29" customWidth="1"/>
    <col min="49" max="49" width="11.140625" style="29" customWidth="1"/>
    <col min="50" max="51" width="8.85546875" style="29" customWidth="1"/>
    <col min="52" max="52" width="11.5703125" style="29" customWidth="1"/>
    <col min="53" max="53" width="23.140625" style="29" customWidth="1"/>
    <col min="54" max="54" width="10.85546875" style="29" customWidth="1"/>
    <col min="55" max="55" width="19.5703125" style="29" customWidth="1"/>
    <col min="56" max="56" width="16.85546875" style="29" customWidth="1"/>
    <col min="57" max="58" width="20.5703125" style="29" customWidth="1"/>
    <col min="59" max="59" width="23.140625" style="29" bestFit="1" customWidth="1"/>
    <col min="60" max="60" width="25.42578125" style="29" bestFit="1" customWidth="1"/>
    <col min="61" max="16384" width="9.140625" style="29"/>
  </cols>
  <sheetData>
    <row r="1" spans="1:60" ht="32.1" customHeight="1" x14ac:dyDescent="0.25">
      <c r="A1" s="94" t="s">
        <v>196</v>
      </c>
      <c r="I1" s="513" t="s">
        <v>236</v>
      </c>
      <c r="J1" s="513"/>
      <c r="K1" s="513"/>
      <c r="L1" s="513"/>
      <c r="M1" s="513"/>
      <c r="N1" s="514" t="s">
        <v>212</v>
      </c>
      <c r="O1" s="514"/>
      <c r="P1" s="515" t="s">
        <v>229</v>
      </c>
      <c r="Q1" s="515"/>
      <c r="R1" s="515"/>
      <c r="S1" s="515"/>
      <c r="T1" s="515"/>
      <c r="U1" s="513" t="s">
        <v>237</v>
      </c>
      <c r="V1" s="513"/>
      <c r="W1" s="513"/>
      <c r="X1" s="513"/>
      <c r="Y1" s="513"/>
      <c r="Z1" s="514" t="s">
        <v>230</v>
      </c>
      <c r="AA1" s="514"/>
      <c r="AB1" s="514"/>
      <c r="AG1" s="94"/>
      <c r="AK1" s="88"/>
      <c r="AO1" s="513" t="s">
        <v>236</v>
      </c>
      <c r="AP1" s="513"/>
      <c r="AQ1" s="513"/>
      <c r="AR1" s="513"/>
      <c r="AS1" s="513"/>
      <c r="AT1" s="514" t="s">
        <v>212</v>
      </c>
      <c r="AU1" s="514"/>
      <c r="AV1" s="515" t="s">
        <v>229</v>
      </c>
      <c r="AW1" s="515"/>
      <c r="AX1" s="515"/>
      <c r="AY1" s="515"/>
      <c r="AZ1" s="515"/>
      <c r="BA1" s="513" t="s">
        <v>237</v>
      </c>
      <c r="BB1" s="513"/>
      <c r="BC1" s="513"/>
      <c r="BD1" s="513"/>
      <c r="BE1" s="513"/>
      <c r="BF1" s="514" t="s">
        <v>230</v>
      </c>
      <c r="BG1" s="514"/>
      <c r="BH1" s="514"/>
    </row>
    <row r="2" spans="1:60" x14ac:dyDescent="0.25">
      <c r="AK2" s="88"/>
    </row>
    <row r="3" spans="1:60" x14ac:dyDescent="0.25">
      <c r="AK3" s="88"/>
    </row>
    <row r="4" spans="1:60" x14ac:dyDescent="0.25">
      <c r="A4" s="127" t="s">
        <v>79</v>
      </c>
      <c r="B4" s="127" t="s">
        <v>79</v>
      </c>
      <c r="C4" s="127" t="s">
        <v>79</v>
      </c>
      <c r="D4" s="127" t="s">
        <v>79</v>
      </c>
      <c r="E4" s="128" t="s">
        <v>23</v>
      </c>
      <c r="F4" s="128" t="s">
        <v>23</v>
      </c>
      <c r="G4" s="128" t="s">
        <v>23</v>
      </c>
      <c r="H4" s="108" t="s">
        <v>121</v>
      </c>
      <c r="I4" s="110" t="s">
        <v>213</v>
      </c>
      <c r="J4" s="107" t="s">
        <v>22</v>
      </c>
      <c r="K4" s="108" t="s">
        <v>121</v>
      </c>
      <c r="L4" s="106" t="s">
        <v>234</v>
      </c>
      <c r="M4" s="107" t="s">
        <v>22</v>
      </c>
      <c r="N4" s="106" t="s">
        <v>211</v>
      </c>
      <c r="O4" s="107" t="s">
        <v>22</v>
      </c>
      <c r="P4" s="109" t="s">
        <v>52</v>
      </c>
      <c r="Q4" s="109" t="s">
        <v>52</v>
      </c>
      <c r="R4" s="106" t="s">
        <v>235</v>
      </c>
      <c r="S4" s="106" t="s">
        <v>235</v>
      </c>
      <c r="T4" s="107" t="s">
        <v>22</v>
      </c>
      <c r="U4" s="106" t="s">
        <v>211</v>
      </c>
      <c r="V4" s="110" t="s">
        <v>234</v>
      </c>
      <c r="W4" s="106" t="s">
        <v>233</v>
      </c>
      <c r="X4" s="107" t="s">
        <v>22</v>
      </c>
      <c r="Y4" s="107" t="s">
        <v>22</v>
      </c>
      <c r="Z4" s="107" t="s">
        <v>22</v>
      </c>
      <c r="AA4" s="107" t="s">
        <v>22</v>
      </c>
      <c r="AB4" s="107" t="s">
        <v>22</v>
      </c>
      <c r="AG4" s="104" t="s">
        <v>79</v>
      </c>
      <c r="AH4" s="104" t="s">
        <v>79</v>
      </c>
      <c r="AI4" s="104" t="s">
        <v>79</v>
      </c>
      <c r="AJ4" s="104" t="s">
        <v>79</v>
      </c>
      <c r="AK4" s="128" t="s">
        <v>23</v>
      </c>
      <c r="AL4" s="82" t="s">
        <v>23</v>
      </c>
      <c r="AM4" s="82" t="s">
        <v>23</v>
      </c>
      <c r="AN4" s="83" t="s">
        <v>121</v>
      </c>
      <c r="AO4" s="110" t="s">
        <v>213</v>
      </c>
      <c r="AP4" s="83" t="s">
        <v>219</v>
      </c>
      <c r="AQ4" s="110" t="s">
        <v>45</v>
      </c>
      <c r="AR4" s="110" t="s">
        <v>45</v>
      </c>
      <c r="AS4" s="83"/>
      <c r="AT4" s="110" t="s">
        <v>211</v>
      </c>
      <c r="AU4" s="84" t="s">
        <v>22</v>
      </c>
      <c r="AV4" s="109" t="s">
        <v>52</v>
      </c>
      <c r="AW4" s="109" t="s">
        <v>52</v>
      </c>
      <c r="AX4" s="110" t="s">
        <v>45</v>
      </c>
      <c r="AY4" s="110" t="s">
        <v>45</v>
      </c>
      <c r="AZ4" s="84" t="s">
        <v>22</v>
      </c>
      <c r="BA4" s="110" t="s">
        <v>45</v>
      </c>
      <c r="BB4" s="110" t="s">
        <v>45</v>
      </c>
      <c r="BC4" s="110" t="s">
        <v>45</v>
      </c>
      <c r="BD4" s="84" t="s">
        <v>22</v>
      </c>
      <c r="BE4" s="84" t="s">
        <v>22</v>
      </c>
      <c r="BF4" s="84" t="s">
        <v>22</v>
      </c>
      <c r="BG4" s="84" t="s">
        <v>22</v>
      </c>
      <c r="BH4" s="84" t="s">
        <v>22</v>
      </c>
    </row>
    <row r="5" spans="1:60" x14ac:dyDescent="0.25">
      <c r="AK5" s="88"/>
    </row>
    <row r="6" spans="1:60" s="129" customFormat="1" ht="78.599999999999994" customHeight="1" x14ac:dyDescent="0.25">
      <c r="A6" s="113" t="s">
        <v>79</v>
      </c>
      <c r="B6" s="113" t="s">
        <v>10</v>
      </c>
      <c r="C6" s="113" t="s">
        <v>11</v>
      </c>
      <c r="D6" s="113" t="s">
        <v>6</v>
      </c>
      <c r="E6" s="113" t="s">
        <v>153</v>
      </c>
      <c r="F6" s="113" t="s">
        <v>61</v>
      </c>
      <c r="G6" s="113" t="s">
        <v>18</v>
      </c>
      <c r="H6" s="113" t="s">
        <v>75</v>
      </c>
      <c r="I6" s="113" t="s">
        <v>214</v>
      </c>
      <c r="J6" s="113" t="s">
        <v>149</v>
      </c>
      <c r="K6" s="113" t="s">
        <v>162</v>
      </c>
      <c r="L6" s="113" t="s">
        <v>216</v>
      </c>
      <c r="M6" s="113" t="s">
        <v>218</v>
      </c>
      <c r="N6" s="113" t="s">
        <v>210</v>
      </c>
      <c r="O6" s="113" t="s">
        <v>149</v>
      </c>
      <c r="P6" s="113" t="s">
        <v>26</v>
      </c>
      <c r="Q6" s="113" t="s">
        <v>170</v>
      </c>
      <c r="R6" s="113" t="s">
        <v>171</v>
      </c>
      <c r="S6" s="113" t="s">
        <v>172</v>
      </c>
      <c r="T6" s="113" t="s">
        <v>173</v>
      </c>
      <c r="U6" s="113" t="s">
        <v>152</v>
      </c>
      <c r="V6" s="113" t="s">
        <v>27</v>
      </c>
      <c r="W6" s="113" t="s">
        <v>162</v>
      </c>
      <c r="X6" s="113" t="s">
        <v>165</v>
      </c>
      <c r="Y6" s="113" t="s">
        <v>224</v>
      </c>
      <c r="Z6" s="113" t="s">
        <v>226</v>
      </c>
      <c r="AA6" s="113" t="s">
        <v>227</v>
      </c>
      <c r="AB6" s="113" t="s">
        <v>228</v>
      </c>
      <c r="AG6" s="113" t="s">
        <v>79</v>
      </c>
      <c r="AH6" s="113" t="s">
        <v>10</v>
      </c>
      <c r="AI6" s="113" t="s">
        <v>11</v>
      </c>
      <c r="AJ6" s="113" t="s">
        <v>6</v>
      </c>
      <c r="AK6" s="113" t="s">
        <v>153</v>
      </c>
      <c r="AL6" s="113" t="s">
        <v>231</v>
      </c>
      <c r="AM6" s="113" t="s">
        <v>18</v>
      </c>
      <c r="AN6" s="113" t="s">
        <v>232</v>
      </c>
      <c r="AO6" s="113" t="s">
        <v>214</v>
      </c>
      <c r="AP6" s="113" t="s">
        <v>149</v>
      </c>
      <c r="AQ6" s="113" t="s">
        <v>162</v>
      </c>
      <c r="AR6" s="113" t="s">
        <v>216</v>
      </c>
      <c r="AS6" s="113" t="s">
        <v>218</v>
      </c>
      <c r="AT6" s="113" t="s">
        <v>210</v>
      </c>
      <c r="AU6" s="113" t="s">
        <v>149</v>
      </c>
      <c r="AV6" s="113" t="s">
        <v>26</v>
      </c>
      <c r="AW6" s="113" t="s">
        <v>170</v>
      </c>
      <c r="AX6" s="113" t="s">
        <v>171</v>
      </c>
      <c r="AY6" s="113" t="s">
        <v>172</v>
      </c>
      <c r="AZ6" s="113" t="s">
        <v>173</v>
      </c>
      <c r="BA6" s="113" t="s">
        <v>152</v>
      </c>
      <c r="BB6" s="113" t="s">
        <v>27</v>
      </c>
      <c r="BC6" s="113" t="s">
        <v>162</v>
      </c>
      <c r="BD6" s="113" t="s">
        <v>165</v>
      </c>
      <c r="BE6" s="113" t="s">
        <v>224</v>
      </c>
      <c r="BF6" s="113" t="s">
        <v>226</v>
      </c>
      <c r="BG6" s="113" t="s">
        <v>227</v>
      </c>
      <c r="BH6" s="113" t="s">
        <v>228</v>
      </c>
    </row>
    <row r="7" spans="1:60" ht="18.75" x14ac:dyDescent="0.35">
      <c r="A7" s="88" t="s">
        <v>79</v>
      </c>
      <c r="B7" s="88" t="s">
        <v>79</v>
      </c>
      <c r="C7" s="88" t="s">
        <v>79</v>
      </c>
      <c r="D7" s="88" t="s">
        <v>79</v>
      </c>
      <c r="E7" s="88" t="s">
        <v>154</v>
      </c>
      <c r="F7" s="88" t="s">
        <v>126</v>
      </c>
      <c r="G7" s="88" t="s">
        <v>19</v>
      </c>
      <c r="H7" s="88" t="s">
        <v>21</v>
      </c>
      <c r="I7" s="88" t="s">
        <v>150</v>
      </c>
      <c r="J7" s="88" t="s">
        <v>215</v>
      </c>
      <c r="K7" s="88" t="s">
        <v>34</v>
      </c>
      <c r="L7" s="88" t="s">
        <v>217</v>
      </c>
      <c r="M7" s="88" t="s">
        <v>223</v>
      </c>
      <c r="N7" s="88" t="s">
        <v>178</v>
      </c>
      <c r="O7" s="88" t="s">
        <v>151</v>
      </c>
      <c r="P7" s="88" t="s">
        <v>124</v>
      </c>
      <c r="Q7" s="88" t="s">
        <v>54</v>
      </c>
      <c r="R7" s="88" t="s">
        <v>184</v>
      </c>
      <c r="S7" s="88" t="s">
        <v>184</v>
      </c>
      <c r="T7" s="88" t="s">
        <v>182</v>
      </c>
      <c r="U7" s="88" t="s">
        <v>160</v>
      </c>
      <c r="V7" s="88" t="s">
        <v>54</v>
      </c>
      <c r="W7" s="88" t="s">
        <v>34</v>
      </c>
      <c r="X7" s="88" t="s">
        <v>166</v>
      </c>
      <c r="Y7" s="88" t="s">
        <v>225</v>
      </c>
      <c r="Z7" s="29" t="s">
        <v>266</v>
      </c>
      <c r="AA7" s="29" t="s">
        <v>267</v>
      </c>
      <c r="AB7" s="88" t="s">
        <v>268</v>
      </c>
      <c r="AG7" s="88" t="s">
        <v>79</v>
      </c>
      <c r="AH7" s="88" t="s">
        <v>79</v>
      </c>
      <c r="AI7" s="88" t="s">
        <v>79</v>
      </c>
      <c r="AJ7" s="88" t="s">
        <v>79</v>
      </c>
      <c r="AK7" s="88" t="s">
        <v>154</v>
      </c>
      <c r="AL7" s="88" t="s">
        <v>126</v>
      </c>
      <c r="AM7" s="88" t="s">
        <v>19</v>
      </c>
      <c r="AN7" s="88" t="s">
        <v>21</v>
      </c>
      <c r="AO7" s="88" t="s">
        <v>150</v>
      </c>
      <c r="AP7" s="88" t="s">
        <v>215</v>
      </c>
      <c r="AQ7" s="88" t="s">
        <v>34</v>
      </c>
      <c r="AR7" s="88" t="s">
        <v>217</v>
      </c>
      <c r="AS7" s="88" t="s">
        <v>223</v>
      </c>
      <c r="AT7" s="88" t="s">
        <v>178</v>
      </c>
      <c r="AU7" s="88" t="s">
        <v>151</v>
      </c>
      <c r="AV7" s="88" t="s">
        <v>124</v>
      </c>
      <c r="AW7" s="88" t="s">
        <v>54</v>
      </c>
      <c r="AX7" s="88" t="s">
        <v>184</v>
      </c>
      <c r="AY7" s="88" t="s">
        <v>184</v>
      </c>
      <c r="AZ7" s="88" t="s">
        <v>182</v>
      </c>
      <c r="BA7" s="88" t="s">
        <v>160</v>
      </c>
      <c r="BB7" s="88" t="s">
        <v>54</v>
      </c>
      <c r="BC7" s="88" t="s">
        <v>34</v>
      </c>
      <c r="BD7" s="88" t="s">
        <v>166</v>
      </c>
      <c r="BE7" s="88" t="s">
        <v>225</v>
      </c>
      <c r="BF7" s="29" t="s">
        <v>266</v>
      </c>
      <c r="BG7" s="29" t="s">
        <v>267</v>
      </c>
      <c r="BH7" s="88" t="s">
        <v>268</v>
      </c>
    </row>
    <row r="9" spans="1:60" x14ac:dyDescent="0.25">
      <c r="A9" s="29" t="str">
        <f>B9&amp;C9</f>
        <v>BisonEuropean (360 – 990 kg)</v>
      </c>
      <c r="B9" s="29" t="str">
        <f>'Conservation grazing tool'!C31</f>
        <v>Bison</v>
      </c>
      <c r="C9" s="29" t="str">
        <f>IF(ISTEXT('Conservation grazing tool'!D31)=TRUE,'Conservation grazing tool'!D31,"")</f>
        <v>European (360 – 990 kg)</v>
      </c>
      <c r="D9" s="29" t="e">
        <f>INDEX('Conservation grazing tool'!$C$20:$C$22,MATCH(MAX('Conservation grazing tool'!$D$20:$D$22),'Conservation grazing tool'!$D$20:$D$22,0))</f>
        <v>#N/A</v>
      </c>
      <c r="E9" s="88">
        <f>IF(ISNUMBER('Conservation grazing tool'!$D$20)=TRUE,'Conservation grazing tool'!$D$20,0)+IF(ISNUMBER('Conservation grazing tool'!$D$21)=TRUE,'Conservation grazing tool'!$D$21,0)+IF(ISNUMBER('Conservation grazing tool'!$D$22)=TRUE,'Conservation grazing tool'!$D$22,0)</f>
        <v>0</v>
      </c>
      <c r="F9" s="88">
        <f>IF(ISNUMBER('Conservation grazing tool'!F31)=TRUE,'Conservation grazing tool'!F31,0)</f>
        <v>0</v>
      </c>
      <c r="G9" s="88">
        <f>IF(ISNUMBER('Conservation grazing tool'!H31)=TRUE,'Conservation grazing tool'!H31*365/100,0)</f>
        <v>0</v>
      </c>
      <c r="H9" s="88">
        <f>INDEX('Livestock assumptions'!$E$8:$E$17,MATCH(A9,'Livestock assumptions'!$B$8:$B$17,0))</f>
        <v>675</v>
      </c>
      <c r="I9" s="88">
        <f>INDEX('Livestock factors - IPCC'!$L$9:$L$39,MATCH(A9,'Livestock factors - IPCC'!$B$9:$B$39,0))</f>
        <v>7.7</v>
      </c>
      <c r="J9" s="130">
        <f>I9*H9/1000*G9</f>
        <v>0</v>
      </c>
      <c r="K9" s="88">
        <f>'GHG Factors'!$D$8</f>
        <v>1</v>
      </c>
      <c r="L9" s="88">
        <f>'GHG Factors'!$D$9</f>
        <v>0.6</v>
      </c>
      <c r="M9" s="119">
        <f>F9*I9*J9*K9*L9/1000</f>
        <v>0</v>
      </c>
      <c r="N9" s="88">
        <f>INDEX('Livestock factors - IPCC'!$M$9:$M$39,MATCH(A9,'Livestock factors - IPCC'!$B$9:$B$39,0))</f>
        <v>0.1</v>
      </c>
      <c r="O9" s="119">
        <f>(N9*H9/1000)*G9</f>
        <v>0</v>
      </c>
      <c r="P9" s="119" t="str">
        <f>'Enteric methane'!R9</f>
        <v xml:space="preserve"> </v>
      </c>
      <c r="Q9" s="88" t="e">
        <f>'Enteric methane'!O9</f>
        <v>#N/A</v>
      </c>
      <c r="R9" s="88">
        <f>'GHG Factors'!$D$14</f>
        <v>0.04</v>
      </c>
      <c r="S9" s="88">
        <f>'GHG Factors'!$D$15</f>
        <v>0.06</v>
      </c>
      <c r="T9" s="117" t="e">
        <f>(P9*(1-Q9/100)+R9*P9)*(1-S9)/'GHG Factors'!$D$16</f>
        <v>#VALUE!</v>
      </c>
      <c r="U9" s="88">
        <f>INDEX('Livestock factors - IPCC'!$M$9:$M$39,MATCH(A9,'Livestock factors - IPCC'!$B$9:$B$39,0))</f>
        <v>0.1</v>
      </c>
      <c r="V9" s="88">
        <f>'GHG Factors'!$D$10</f>
        <v>0.47</v>
      </c>
      <c r="W9" s="88">
        <f>'GHG Factors'!$D$8</f>
        <v>1</v>
      </c>
      <c r="X9" s="117" t="e">
        <f>T9*G9*U9*'GHG Factors'!$D$13*'Manure methane'!V9/100*'Manure methane'!W9</f>
        <v>#VALUE!</v>
      </c>
      <c r="Y9" s="119" t="e">
        <f>X9*F9</f>
        <v>#VALUE!</v>
      </c>
      <c r="Z9" s="131" t="e">
        <f>IF(B9="Equine",M9,Y9)/1000</f>
        <v>#VALUE!</v>
      </c>
      <c r="AA9" s="116" t="e">
        <f>Z9*'GHG Factors'!$D$12</f>
        <v>#VALUE!</v>
      </c>
      <c r="AB9" s="119" t="e">
        <f>AA9/E9</f>
        <v>#VALUE!</v>
      </c>
      <c r="AG9" s="29" t="str">
        <f>AH9&amp;AI9</f>
        <v>BisonEuropean (360 – 990 kg)</v>
      </c>
      <c r="AH9" s="29" t="str">
        <f>'Conservation grazing tool'!C31</f>
        <v>Bison</v>
      </c>
      <c r="AI9" s="29" t="str">
        <f>IF(ISTEXT('Conservation grazing tool'!D31)=TRUE,'Conservation grazing tool'!D31,"")</f>
        <v>European (360 – 990 kg)</v>
      </c>
      <c r="AJ9" s="29" t="e">
        <f>INDEX('Conservation grazing tool'!$C$20:$C$22,MATCH(MAX('Conservation grazing tool'!$D$20:$D$22),'Conservation grazing tool'!$D$20:$D$22,0))</f>
        <v>#N/A</v>
      </c>
      <c r="AK9" s="88">
        <f>IF(ISNUMBER('Conservation grazing tool'!$D$20)=TRUE,'Conservation grazing tool'!$D$20,0)+IF(ISNUMBER('Conservation grazing tool'!$D$21)=TRUE,'Conservation grazing tool'!$D$21,0)+IF(ISNUMBER('Conservation grazing tool'!$D$22)=TRUE,'Conservation grazing tool'!$D$22,0)</f>
        <v>0</v>
      </c>
      <c r="AL9" s="88">
        <f>IF(ISNUMBER('Conservation grazing tool'!G31)=TRUE,'Conservation grazing tool'!G31,0)</f>
        <v>0</v>
      </c>
      <c r="AM9" s="88">
        <f>IF(ISNUMBER('Conservation grazing tool'!H31)=TRUE,'Conservation grazing tool'!H31*365/100,0)</f>
        <v>0</v>
      </c>
      <c r="AN9" s="88">
        <f>INDEX('Livestock assumptions'!$E$8:$E$17,MATCH(AG9,'Livestock assumptions'!$B$8:$B$17,0))</f>
        <v>675</v>
      </c>
      <c r="AO9" s="88">
        <f>INDEX('Livestock factors - IPCC'!$L$9:$L$39,MATCH(AG9,'Livestock factors - IPCC'!$B$9:$B$39,0))</f>
        <v>7.7</v>
      </c>
      <c r="AP9" s="130">
        <f>AO9*AN9/1000*AM9</f>
        <v>0</v>
      </c>
      <c r="AQ9" s="88">
        <f>'GHG Factors'!$D$8</f>
        <v>1</v>
      </c>
      <c r="AR9" s="88">
        <f>'GHG Factors'!$D$9</f>
        <v>0.6</v>
      </c>
      <c r="AS9" s="130">
        <f>AL9*AO9*AP9*AQ9*AR9/1000</f>
        <v>0</v>
      </c>
      <c r="AT9" s="88">
        <f>INDEX('Livestock factors - IPCC'!$M$9:$M$39,MATCH(AG9,'Livestock factors - IPCC'!$B$9:$B$39,0))</f>
        <v>0.1</v>
      </c>
      <c r="AU9" s="119">
        <f>(AT9*AN9/1000)*AM9</f>
        <v>0</v>
      </c>
      <c r="AV9" s="119" t="str">
        <f>'Enteric methane'!BG9</f>
        <v xml:space="preserve"> </v>
      </c>
      <c r="AW9" s="88" t="e">
        <f>'Enteric methane'!BD9</f>
        <v>#N/A</v>
      </c>
      <c r="AX9" s="88">
        <f>'GHG Factors'!$D$14</f>
        <v>0.04</v>
      </c>
      <c r="AY9" s="88">
        <f>'GHG Factors'!$D$15</f>
        <v>0.06</v>
      </c>
      <c r="AZ9" s="117" t="e">
        <f>(AV9*(1-AW9/100)+AX9*AV9)*(1-AY9)/'GHG Factors'!$D$16</f>
        <v>#VALUE!</v>
      </c>
      <c r="BA9" s="88">
        <f>INDEX('Livestock factors - IPCC'!$M$9:$M$39,MATCH('Manure methane'!AG9,'Livestock factors - IPCC'!$B$9:$B$39,0))</f>
        <v>0.1</v>
      </c>
      <c r="BB9" s="88">
        <f>'GHG Factors'!$D$10</f>
        <v>0.47</v>
      </c>
      <c r="BC9" s="88">
        <f>'GHG Factors'!$D$8</f>
        <v>1</v>
      </c>
      <c r="BD9" s="117" t="e">
        <f>AZ9*AM9*BA9*'GHG Factors'!$D$13*'Manure methane'!BB9/100*'Manure methane'!BC9</f>
        <v>#VALUE!</v>
      </c>
      <c r="BE9" s="119" t="e">
        <f>BD9*AL9</f>
        <v>#VALUE!</v>
      </c>
      <c r="BF9" s="131" t="e">
        <f>IF(AH9="Equine",AS9,BE9)/1000</f>
        <v>#VALUE!</v>
      </c>
      <c r="BG9" s="132" t="e">
        <f>BF9*'GHG Factors'!$D$12</f>
        <v>#VALUE!</v>
      </c>
      <c r="BH9" s="133" t="e">
        <f>BG9/AK9</f>
        <v>#VALUE!</v>
      </c>
    </row>
    <row r="10" spans="1:60" x14ac:dyDescent="0.25">
      <c r="A10" s="29" t="str">
        <f t="shared" ref="A10:A11" si="0">B10&amp;C10</f>
        <v>Water buffaloStandard (300 – 600 kg)</v>
      </c>
      <c r="B10" s="29" t="str">
        <f>'Conservation grazing tool'!C32</f>
        <v>Water buffalo</v>
      </c>
      <c r="C10" s="29" t="str">
        <f>IF(ISTEXT('Conservation grazing tool'!D32)=TRUE,'Conservation grazing tool'!D32,"")</f>
        <v>Standard (300 – 600 kg)</v>
      </c>
      <c r="D10" s="29" t="e">
        <f>INDEX('Conservation grazing tool'!$C$20:$C$22,MATCH(MAX('Conservation grazing tool'!$D$20:$D$22),'Conservation grazing tool'!$D$20:$D$22,0))</f>
        <v>#N/A</v>
      </c>
      <c r="E10" s="88">
        <f>IF(ISNUMBER('Conservation grazing tool'!$D$20)=TRUE,'Conservation grazing tool'!$D$20,0)+IF(ISNUMBER('Conservation grazing tool'!$D$21)=TRUE,'Conservation grazing tool'!$D$21,0)+IF(ISNUMBER('Conservation grazing tool'!$D$22)=TRUE,'Conservation grazing tool'!$D$22,0)</f>
        <v>0</v>
      </c>
      <c r="F10" s="88">
        <f>IF(ISNUMBER('Conservation grazing tool'!F32)=TRUE,'Conservation grazing tool'!F32,0)</f>
        <v>0</v>
      </c>
      <c r="G10" s="88">
        <f>IF(ISNUMBER('Conservation grazing tool'!H32)=TRUE,'Conservation grazing tool'!H32*365/100,0)</f>
        <v>0</v>
      </c>
      <c r="H10" s="88">
        <f>INDEX('Livestock assumptions'!$E$8:$E$17,MATCH(A10,'Livestock assumptions'!$B$8:$B$17,0))</f>
        <v>450</v>
      </c>
      <c r="I10" s="88">
        <f>INDEX('Livestock factors - IPCC'!$L$9:$L$39,MATCH(A10,'Livestock factors - IPCC'!$B$9:$B$39,0))</f>
        <v>7.7</v>
      </c>
      <c r="J10" s="130">
        <f t="shared" ref="J10:J11" si="1">I10*H10/1000*G10</f>
        <v>0</v>
      </c>
      <c r="K10" s="88">
        <f>'GHG Factors'!$D$8</f>
        <v>1</v>
      </c>
      <c r="L10" s="88">
        <f>'GHG Factors'!$D$9</f>
        <v>0.6</v>
      </c>
      <c r="M10" s="119">
        <f t="shared" ref="M10:M11" si="2">F10*I10*J10*K10*L10/1000</f>
        <v>0</v>
      </c>
      <c r="N10" s="88">
        <f>INDEX('Livestock factors - IPCC'!$M$9:$M$39,MATCH(A10,'Livestock factors - IPCC'!$B$9:$B$39,0))</f>
        <v>0.1</v>
      </c>
      <c r="O10" s="119">
        <f t="shared" ref="O10:O11" si="3">(N10*H10/1000)*G10</f>
        <v>0</v>
      </c>
      <c r="P10" s="119" t="str">
        <f>'Enteric methane'!R10</f>
        <v xml:space="preserve"> </v>
      </c>
      <c r="Q10" s="88" t="e">
        <f>'Enteric methane'!O10</f>
        <v>#N/A</v>
      </c>
      <c r="R10" s="88">
        <f>'GHG Factors'!$D$14</f>
        <v>0.04</v>
      </c>
      <c r="S10" s="88">
        <f>'GHG Factors'!$D$15</f>
        <v>0.06</v>
      </c>
      <c r="T10" s="117" t="e">
        <f>(P10*(1-Q10/100)+R10*P10)*(1-S10)/'GHG Factors'!$D$16</f>
        <v>#VALUE!</v>
      </c>
      <c r="U10" s="88">
        <f>INDEX('Livestock factors - IPCC'!$M$9:$M$39,MATCH(A10,'Livestock factors - IPCC'!$B$9:$B$39,0))</f>
        <v>0.1</v>
      </c>
      <c r="V10" s="88">
        <f>'GHG Factors'!$D$10</f>
        <v>0.47</v>
      </c>
      <c r="W10" s="88">
        <f>'GHG Factors'!$D$8</f>
        <v>1</v>
      </c>
      <c r="X10" s="117" t="e">
        <f>T10*G10*U10*'GHG Factors'!$D$13*'Manure methane'!V10/100*'Manure methane'!W10</f>
        <v>#VALUE!</v>
      </c>
      <c r="Y10" s="119" t="e">
        <f t="shared" ref="Y10:Y11" si="4">X10*F10</f>
        <v>#VALUE!</v>
      </c>
      <c r="Z10" s="131" t="e">
        <f t="shared" ref="Z10:Z11" si="5">IF(B10="Equine",M10,Y10)/1000</f>
        <v>#VALUE!</v>
      </c>
      <c r="AA10" s="116" t="e">
        <f>Z10*'GHG Factors'!$D$12</f>
        <v>#VALUE!</v>
      </c>
      <c r="AB10" s="119" t="e">
        <f t="shared" ref="AB10:AB11" si="6">AA10/E10</f>
        <v>#VALUE!</v>
      </c>
      <c r="AG10" s="29" t="str">
        <f t="shared" ref="AG10:AG11" si="7">AH10&amp;AI10</f>
        <v>Water buffaloStandard (300 – 600 kg)</v>
      </c>
      <c r="AH10" s="29" t="str">
        <f>'Conservation grazing tool'!C32</f>
        <v>Water buffalo</v>
      </c>
      <c r="AI10" s="29" t="str">
        <f>IF(ISTEXT('Conservation grazing tool'!D32)=TRUE,'Conservation grazing tool'!D32,"")</f>
        <v>Standard (300 – 600 kg)</v>
      </c>
      <c r="AJ10" s="29" t="e">
        <f>INDEX('Conservation grazing tool'!$C$20:$C$22,MATCH(MAX('Conservation grazing tool'!$D$20:$D$22),'Conservation grazing tool'!$D$20:$D$22,0))</f>
        <v>#N/A</v>
      </c>
      <c r="AK10" s="88">
        <f>IF(ISNUMBER('Conservation grazing tool'!$D$20)=TRUE,'Conservation grazing tool'!$D$20,0)+IF(ISNUMBER('Conservation grazing tool'!$D$21)=TRUE,'Conservation grazing tool'!$D$21,0)+IF(ISNUMBER('Conservation grazing tool'!$D$22)=TRUE,'Conservation grazing tool'!$D$22,0)</f>
        <v>0</v>
      </c>
      <c r="AL10" s="88">
        <f>IF(ISNUMBER('Conservation grazing tool'!G32)=TRUE,'Conservation grazing tool'!G32,0)</f>
        <v>0</v>
      </c>
      <c r="AM10" s="88">
        <f>IF(ISNUMBER('Conservation grazing tool'!H32)=TRUE,'Conservation grazing tool'!H32*365/100,0)</f>
        <v>0</v>
      </c>
      <c r="AN10" s="88">
        <f>INDEX('Livestock assumptions'!$E$8:$E$17,MATCH(AG10,'Livestock assumptions'!$B$8:$B$17,0))</f>
        <v>450</v>
      </c>
      <c r="AO10" s="88">
        <f>INDEX('Livestock factors - IPCC'!$L$9:$L$39,MATCH(AG10,'Livestock factors - IPCC'!$B$9:$B$39,0))</f>
        <v>7.7</v>
      </c>
      <c r="AP10" s="130">
        <f t="shared" ref="AP10:AP11" si="8">AO10*AN10/1000*AM10</f>
        <v>0</v>
      </c>
      <c r="AQ10" s="88">
        <f>'GHG Factors'!$D$8</f>
        <v>1</v>
      </c>
      <c r="AR10" s="88">
        <f>'GHG Factors'!$D$9</f>
        <v>0.6</v>
      </c>
      <c r="AS10" s="130">
        <f t="shared" ref="AS10:AS11" si="9">AL10*AO10*AP10*AQ10*AR10/1000</f>
        <v>0</v>
      </c>
      <c r="AT10" s="88">
        <f>INDEX('Livestock factors - IPCC'!$M$9:$M$39,MATCH(AG10,'Livestock factors - IPCC'!$B$9:$B$39,0))</f>
        <v>0.1</v>
      </c>
      <c r="AU10" s="119">
        <f t="shared" ref="AU10:AU11" si="10">(AT10*AN10/1000)*AM10</f>
        <v>0</v>
      </c>
      <c r="AV10" s="119" t="str">
        <f>'Enteric methane'!BG10</f>
        <v xml:space="preserve"> </v>
      </c>
      <c r="AW10" s="88" t="e">
        <f>'Enteric methane'!BD10</f>
        <v>#N/A</v>
      </c>
      <c r="AX10" s="88">
        <f>'GHG Factors'!$D$14</f>
        <v>0.04</v>
      </c>
      <c r="AY10" s="88">
        <f>'GHG Factors'!$D$15</f>
        <v>0.06</v>
      </c>
      <c r="AZ10" s="117" t="e">
        <f>(AV10*(1-AW10/100)+AX10*AV10)*(1-AY10)/'GHG Factors'!$D$16</f>
        <v>#VALUE!</v>
      </c>
      <c r="BA10" s="88">
        <f>INDEX('Livestock factors - IPCC'!$M$9:$M$39,MATCH('Manure methane'!AG10,'Livestock factors - IPCC'!$B$9:$B$39,0))</f>
        <v>0.1</v>
      </c>
      <c r="BB10" s="88">
        <f>'GHG Factors'!$D$10</f>
        <v>0.47</v>
      </c>
      <c r="BC10" s="88">
        <f>'GHG Factors'!$D$8</f>
        <v>1</v>
      </c>
      <c r="BD10" s="117" t="e">
        <f>AZ10*AM10*BA10*'GHG Factors'!$D$13*'Manure methane'!BB10/100*'Manure methane'!BC10</f>
        <v>#VALUE!</v>
      </c>
      <c r="BE10" s="119" t="e">
        <f t="shared" ref="BE10:BE11" si="11">BD10*AL10</f>
        <v>#VALUE!</v>
      </c>
      <c r="BF10" s="131" t="e">
        <f t="shared" ref="BF10:BF11" si="12">IF(AH10="Equine",AS10,BE10)/1000</f>
        <v>#VALUE!</v>
      </c>
      <c r="BG10" s="132" t="e">
        <f>BF10*'GHG Factors'!$D$12</f>
        <v>#VALUE!</v>
      </c>
      <c r="BH10" s="119" t="e">
        <f t="shared" ref="BH10:BH11" si="13">BG10/AK10</f>
        <v>#VALUE!</v>
      </c>
    </row>
    <row r="11" spans="1:60" x14ac:dyDescent="0.25">
      <c r="A11" s="29" t="str">
        <f t="shared" si="0"/>
        <v>CattleMedium (500 kg - 700 kg)</v>
      </c>
      <c r="B11" s="29" t="str">
        <f>'Conservation grazing tool'!C33</f>
        <v>Cattle</v>
      </c>
      <c r="C11" s="29" t="str">
        <f>IF(ISTEXT('Conservation grazing tool'!D33)=TRUE,'Conservation grazing tool'!D33,"")</f>
        <v>Medium (500 kg - 700 kg)</v>
      </c>
      <c r="D11" s="29" t="e">
        <f>INDEX('Conservation grazing tool'!$C$20:$C$22,MATCH(MAX('Conservation grazing tool'!$D$20:$D$22),'Conservation grazing tool'!$D$20:$D$22,0))</f>
        <v>#N/A</v>
      </c>
      <c r="E11" s="88">
        <f>IF(ISNUMBER('Conservation grazing tool'!$D$20)=TRUE,'Conservation grazing tool'!$D$20,0)+IF(ISNUMBER('Conservation grazing tool'!$D$21)=TRUE,'Conservation grazing tool'!$D$21,0)+IF(ISNUMBER('Conservation grazing tool'!$D$22)=TRUE,'Conservation grazing tool'!$D$22,0)</f>
        <v>0</v>
      </c>
      <c r="F11" s="88">
        <f>IF(ISNUMBER('Conservation grazing tool'!F33)=TRUE,'Conservation grazing tool'!F33,0)</f>
        <v>0</v>
      </c>
      <c r="G11" s="88">
        <f>IF(ISNUMBER('Conservation grazing tool'!H33)=TRUE,'Conservation grazing tool'!H33*365/100,0)</f>
        <v>0</v>
      </c>
      <c r="H11" s="88">
        <f>INDEX('Livestock assumptions'!$E$8:$E$17,MATCH(A11,'Livestock assumptions'!$B$8:$B$17,0))</f>
        <v>500</v>
      </c>
      <c r="I11" s="88">
        <f>INDEX('Livestock factors - IPCC'!$L$9:$L$39,MATCH(A11,'Livestock factors - IPCC'!$B$9:$B$39,0))</f>
        <v>5.7</v>
      </c>
      <c r="J11" s="130">
        <f t="shared" si="1"/>
        <v>0</v>
      </c>
      <c r="K11" s="88">
        <f>'GHG Factors'!$D$8</f>
        <v>1</v>
      </c>
      <c r="L11" s="88">
        <f>'GHG Factors'!$D$9</f>
        <v>0.6</v>
      </c>
      <c r="M11" s="119">
        <f t="shared" si="2"/>
        <v>0</v>
      </c>
      <c r="N11" s="88">
        <f>INDEX('Livestock factors - IPCC'!$M$9:$M$39,MATCH(A11,'Livestock factors - IPCC'!$B$9:$B$39,0))</f>
        <v>0.18</v>
      </c>
      <c r="O11" s="119">
        <f t="shared" si="3"/>
        <v>0</v>
      </c>
      <c r="P11" s="119" t="str">
        <f>'Enteric methane'!R11</f>
        <v xml:space="preserve"> </v>
      </c>
      <c r="Q11" s="88" t="e">
        <f>'Enteric methane'!O11</f>
        <v>#N/A</v>
      </c>
      <c r="R11" s="88">
        <f>'GHG Factors'!$D$14</f>
        <v>0.04</v>
      </c>
      <c r="S11" s="88">
        <f>'GHG Factors'!$D$15</f>
        <v>0.06</v>
      </c>
      <c r="T11" s="117" t="e">
        <f>(P11*(1-Q11/100)+R11*P11)*(1-S11)/'GHG Factors'!$D$16</f>
        <v>#VALUE!</v>
      </c>
      <c r="U11" s="88">
        <f>INDEX('Livestock factors - IPCC'!$M$9:$M$39,MATCH(A11,'Livestock factors - IPCC'!$B$9:$B$39,0))</f>
        <v>0.18</v>
      </c>
      <c r="V11" s="88">
        <f>'GHG Factors'!$D$10</f>
        <v>0.47</v>
      </c>
      <c r="W11" s="88">
        <f>'GHG Factors'!$D$8</f>
        <v>1</v>
      </c>
      <c r="X11" s="117" t="e">
        <f>T11*G11*U11*'GHG Factors'!$D$13*'Manure methane'!V11/100*'Manure methane'!W11</f>
        <v>#VALUE!</v>
      </c>
      <c r="Y11" s="132" t="e">
        <f t="shared" si="4"/>
        <v>#VALUE!</v>
      </c>
      <c r="Z11" s="131" t="e">
        <f t="shared" si="5"/>
        <v>#VALUE!</v>
      </c>
      <c r="AA11" s="116" t="e">
        <f>Z11*'GHG Factors'!$D$12</f>
        <v>#VALUE!</v>
      </c>
      <c r="AB11" s="119" t="e">
        <f t="shared" si="6"/>
        <v>#VALUE!</v>
      </c>
      <c r="AG11" s="29" t="str">
        <f t="shared" si="7"/>
        <v>CattleMedium (500 kg - 700 kg)</v>
      </c>
      <c r="AH11" s="29" t="str">
        <f>'Conservation grazing tool'!C33</f>
        <v>Cattle</v>
      </c>
      <c r="AI11" s="29" t="str">
        <f>IF(ISTEXT('Conservation grazing tool'!D33)=TRUE,'Conservation grazing tool'!D33,"")</f>
        <v>Medium (500 kg - 700 kg)</v>
      </c>
      <c r="AJ11" s="29" t="e">
        <f>INDEX('Conservation grazing tool'!$C$20:$C$22,MATCH(MAX('Conservation grazing tool'!$D$20:$D$22),'Conservation grazing tool'!$D$20:$D$22,0))</f>
        <v>#N/A</v>
      </c>
      <c r="AK11" s="88">
        <f>IF(ISNUMBER('Conservation grazing tool'!$D$20)=TRUE,'Conservation grazing tool'!$D$20,0)+IF(ISNUMBER('Conservation grazing tool'!$D$21)=TRUE,'Conservation grazing tool'!$D$21,0)+IF(ISNUMBER('Conservation grazing tool'!$D$22)=TRUE,'Conservation grazing tool'!$D$22,0)</f>
        <v>0</v>
      </c>
      <c r="AL11" s="88">
        <f>IF(ISNUMBER('Conservation grazing tool'!G33)=TRUE,'Conservation grazing tool'!G33,0)</f>
        <v>0</v>
      </c>
      <c r="AM11" s="88">
        <f>IF(ISNUMBER('Conservation grazing tool'!H33)=TRUE,'Conservation grazing tool'!H33*365/100,0)</f>
        <v>0</v>
      </c>
      <c r="AN11" s="88">
        <f>INDEX('Livestock assumptions'!$E$8:$E$17,MATCH(AG11,'Livestock assumptions'!$B$8:$B$17,0))</f>
        <v>500</v>
      </c>
      <c r="AO11" s="88">
        <f>INDEX('Livestock factors - IPCC'!$L$9:$L$39,MATCH(AG11,'Livestock factors - IPCC'!$B$9:$B$39,0))</f>
        <v>5.7</v>
      </c>
      <c r="AP11" s="130">
        <f t="shared" si="8"/>
        <v>0</v>
      </c>
      <c r="AQ11" s="88">
        <f>'GHG Factors'!$D$8</f>
        <v>1</v>
      </c>
      <c r="AR11" s="88">
        <f>'GHG Factors'!$D$9</f>
        <v>0.6</v>
      </c>
      <c r="AS11" s="130">
        <f t="shared" si="9"/>
        <v>0</v>
      </c>
      <c r="AT11" s="88">
        <f>INDEX('Livestock factors - IPCC'!$M$9:$M$39,MATCH(AG11,'Livestock factors - IPCC'!$B$9:$B$39,0))</f>
        <v>0.18</v>
      </c>
      <c r="AU11" s="119">
        <f t="shared" si="10"/>
        <v>0</v>
      </c>
      <c r="AV11" s="119" t="str">
        <f>'Enteric methane'!BG11</f>
        <v xml:space="preserve"> </v>
      </c>
      <c r="AW11" s="88" t="e">
        <f>'Enteric methane'!BD11</f>
        <v>#N/A</v>
      </c>
      <c r="AX11" s="88">
        <f>'GHG Factors'!$D$14</f>
        <v>0.04</v>
      </c>
      <c r="AY11" s="88">
        <f>'GHG Factors'!$D$15</f>
        <v>0.06</v>
      </c>
      <c r="AZ11" s="117" t="e">
        <f>(AV11*(1-AW11/100)+AX11*AV11)*(1-AY11)/'GHG Factors'!$D$16</f>
        <v>#VALUE!</v>
      </c>
      <c r="BA11" s="88">
        <f>INDEX('Livestock factors - IPCC'!$M$9:$M$39,MATCH('Manure methane'!AG11,'Livestock factors - IPCC'!$B$9:$B$39,0))</f>
        <v>0.18</v>
      </c>
      <c r="BB11" s="88">
        <f>'GHG Factors'!$D$10</f>
        <v>0.47</v>
      </c>
      <c r="BC11" s="88">
        <f>'GHG Factors'!$D$8</f>
        <v>1</v>
      </c>
      <c r="BD11" s="117" t="e">
        <f>AZ11*AM11*BA11*'GHG Factors'!$D$13*'Manure methane'!BB11/100*'Manure methane'!BC11</f>
        <v>#VALUE!</v>
      </c>
      <c r="BE11" s="119" t="e">
        <f t="shared" si="11"/>
        <v>#VALUE!</v>
      </c>
      <c r="BF11" s="131" t="e">
        <f t="shared" si="12"/>
        <v>#VALUE!</v>
      </c>
      <c r="BG11" s="132" t="e">
        <f>BF11*'GHG Factors'!$D$12</f>
        <v>#VALUE!</v>
      </c>
      <c r="BH11" s="133" t="e">
        <f t="shared" si="13"/>
        <v>#VALUE!</v>
      </c>
    </row>
    <row r="12" spans="1:60" x14ac:dyDescent="0.25">
      <c r="M12" s="88"/>
    </row>
  </sheetData>
  <sheetProtection algorithmName="SHA-512" hashValue="B77mv9VqOwbuEFLGx8O7O352O3a8iSq52VpqT9WtImd2OXpPiV+p/xU9nQfPPwK8564a8jTEcS8/C8BWB2A0NA==" saltValue="ELPywEJMBsGiXLPsd28oug==" spinCount="100000" sheet="1" objects="1" scenarios="1"/>
  <mergeCells count="10">
    <mergeCell ref="N1:O1"/>
    <mergeCell ref="P1:T1"/>
    <mergeCell ref="I1:M1"/>
    <mergeCell ref="U1:Y1"/>
    <mergeCell ref="Z1:AB1"/>
    <mergeCell ref="AO1:AS1"/>
    <mergeCell ref="AT1:AU1"/>
    <mergeCell ref="AV1:AZ1"/>
    <mergeCell ref="BA1:BE1"/>
    <mergeCell ref="BF1:BH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EFE5D-DA6E-47C3-94AF-39643DB6192D}">
  <sheetPr codeName="Sheet7">
    <tabColor theme="9"/>
  </sheetPr>
  <dimension ref="A1:BM17"/>
  <sheetViews>
    <sheetView workbookViewId="0">
      <selection activeCell="W31" sqref="W31"/>
    </sheetView>
  </sheetViews>
  <sheetFormatPr defaultColWidth="9.140625" defaultRowHeight="15" x14ac:dyDescent="0.25"/>
  <cols>
    <col min="1" max="1" width="25.42578125" style="29" customWidth="1"/>
    <col min="2" max="2" width="9.140625" style="29"/>
    <col min="3" max="3" width="20.140625" style="29" customWidth="1"/>
    <col min="4" max="4" width="10.5703125" style="29" bestFit="1" customWidth="1"/>
    <col min="5" max="5" width="10.5703125" style="29" customWidth="1"/>
    <col min="6" max="6" width="10.85546875" style="29" customWidth="1"/>
    <col min="7" max="7" width="11.42578125" style="29" customWidth="1"/>
    <col min="8" max="9" width="9.140625" style="29"/>
    <col min="10" max="10" width="17.85546875" style="29" customWidth="1"/>
    <col min="11" max="11" width="33.5703125" style="29" customWidth="1"/>
    <col min="12" max="12" width="20.85546875" style="29" customWidth="1"/>
    <col min="13" max="13" width="24.85546875" style="29" customWidth="1"/>
    <col min="14" max="14" width="24.140625" style="29" customWidth="1"/>
    <col min="15" max="15" width="25.85546875" style="29" customWidth="1"/>
    <col min="16" max="16" width="12.85546875" style="29" customWidth="1"/>
    <col min="17" max="17" width="14.85546875" style="29" customWidth="1"/>
    <col min="18" max="18" width="13.140625" style="29" customWidth="1"/>
    <col min="19" max="19" width="15.85546875" style="29" customWidth="1"/>
    <col min="20" max="20" width="16.5703125" style="29" customWidth="1"/>
    <col min="21" max="21" width="15.5703125" style="29" customWidth="1"/>
    <col min="22" max="22" width="10.42578125" style="29" customWidth="1"/>
    <col min="23" max="23" width="20.85546875" style="29" customWidth="1"/>
    <col min="24" max="24" width="15.140625" style="29" bestFit="1" customWidth="1"/>
    <col min="25" max="25" width="15.140625" style="29" customWidth="1"/>
    <col min="26" max="26" width="14.140625" style="29" customWidth="1"/>
    <col min="27" max="27" width="10.42578125" style="29" bestFit="1" customWidth="1"/>
    <col min="28" max="28" width="15" style="29" customWidth="1"/>
    <col min="29" max="29" width="13" style="29" customWidth="1"/>
    <col min="30" max="30" width="12.42578125" style="29" customWidth="1"/>
    <col min="31" max="33" width="9.140625" style="29"/>
    <col min="34" max="34" width="37" style="29" customWidth="1"/>
    <col min="35" max="35" width="9.140625" style="29"/>
    <col min="36" max="36" width="25.85546875" style="29" customWidth="1"/>
    <col min="37" max="37" width="20.85546875" style="29" bestFit="1" customWidth="1"/>
    <col min="38" max="38" width="20.85546875" style="29" customWidth="1"/>
    <col min="39" max="39" width="12.42578125" style="29" customWidth="1"/>
    <col min="40" max="41" width="9.140625" style="29"/>
    <col min="42" max="42" width="12.140625" style="29" customWidth="1"/>
    <col min="43" max="43" width="16.85546875" style="29" customWidth="1"/>
    <col min="44" max="44" width="31.85546875" style="29" customWidth="1"/>
    <col min="45" max="45" width="18.85546875" style="29" customWidth="1"/>
    <col min="46" max="46" width="16.140625" style="29" customWidth="1"/>
    <col min="47" max="47" width="20" style="29" customWidth="1"/>
    <col min="48" max="48" width="17.85546875" style="29" customWidth="1"/>
    <col min="49" max="49" width="17.5703125" style="29" customWidth="1"/>
    <col min="50" max="50" width="8.85546875" style="29" customWidth="1"/>
    <col min="51" max="51" width="13.140625" style="29" customWidth="1"/>
    <col min="52" max="52" width="11.85546875" style="29" customWidth="1"/>
    <col min="53" max="53" width="8.85546875" style="29" customWidth="1"/>
    <col min="54" max="54" width="11.5703125" style="29" customWidth="1"/>
    <col min="55" max="55" width="9" style="29" customWidth="1"/>
    <col min="56" max="56" width="8.85546875" style="29" customWidth="1"/>
    <col min="57" max="57" width="10.85546875" style="29" customWidth="1"/>
    <col min="58" max="58" width="10.5703125" style="29" customWidth="1"/>
    <col min="59" max="59" width="11.85546875" style="29" customWidth="1"/>
    <col min="60" max="60" width="12.42578125" style="29" customWidth="1"/>
    <col min="61" max="61" width="11.85546875" style="29" customWidth="1"/>
    <col min="62" max="62" width="12" style="29" customWidth="1"/>
    <col min="63" max="64" width="14.42578125" style="29" customWidth="1"/>
    <col min="65" max="65" width="15.5703125" style="29" customWidth="1"/>
    <col min="66" max="16384" width="9.140625" style="29"/>
  </cols>
  <sheetData>
    <row r="1" spans="1:65" s="96" customFormat="1" ht="44.85" customHeight="1" x14ac:dyDescent="0.25">
      <c r="A1" s="94" t="s">
        <v>202</v>
      </c>
      <c r="B1" s="95"/>
      <c r="C1" s="95"/>
      <c r="D1" s="95"/>
      <c r="E1" s="95"/>
      <c r="I1" s="516" t="s">
        <v>259</v>
      </c>
      <c r="J1" s="516"/>
      <c r="K1" s="513" t="s">
        <v>258</v>
      </c>
      <c r="L1" s="513"/>
      <c r="M1" s="513"/>
      <c r="N1" s="97" t="s">
        <v>426</v>
      </c>
      <c r="O1" s="98" t="s">
        <v>427</v>
      </c>
      <c r="P1" s="99" t="s">
        <v>262</v>
      </c>
      <c r="Q1" s="515" t="s">
        <v>198</v>
      </c>
      <c r="R1" s="515"/>
      <c r="S1" s="515"/>
      <c r="T1" s="100" t="s">
        <v>199</v>
      </c>
      <c r="U1" s="516" t="s">
        <v>200</v>
      </c>
      <c r="V1" s="516"/>
      <c r="W1" s="101" t="s">
        <v>204</v>
      </c>
      <c r="X1" s="101" t="s">
        <v>205</v>
      </c>
      <c r="Y1" s="101" t="s">
        <v>206</v>
      </c>
      <c r="Z1" s="102"/>
      <c r="AA1" s="514" t="s">
        <v>230</v>
      </c>
      <c r="AB1" s="514"/>
      <c r="AC1" s="514"/>
      <c r="AD1" s="514"/>
      <c r="AH1" s="94" t="s">
        <v>24</v>
      </c>
      <c r="AI1" s="95"/>
      <c r="AJ1" s="95"/>
      <c r="AK1" s="95"/>
      <c r="AL1" s="95"/>
      <c r="AP1" s="516" t="s">
        <v>259</v>
      </c>
      <c r="AQ1" s="516"/>
      <c r="AR1" s="513" t="s">
        <v>258</v>
      </c>
      <c r="AS1" s="513"/>
      <c r="AT1" s="513"/>
      <c r="AU1" s="97" t="s">
        <v>426</v>
      </c>
      <c r="AV1" s="98" t="s">
        <v>427</v>
      </c>
      <c r="AW1" s="99" t="s">
        <v>262</v>
      </c>
      <c r="AX1" s="515" t="s">
        <v>198</v>
      </c>
      <c r="AY1" s="515"/>
      <c r="AZ1" s="515"/>
      <c r="BA1" s="103"/>
      <c r="BB1" s="103"/>
      <c r="BC1" s="100" t="s">
        <v>199</v>
      </c>
      <c r="BD1" s="516" t="s">
        <v>200</v>
      </c>
      <c r="BE1" s="516"/>
      <c r="BF1" s="101" t="s">
        <v>204</v>
      </c>
      <c r="BG1" s="101" t="s">
        <v>205</v>
      </c>
      <c r="BH1" s="101" t="s">
        <v>206</v>
      </c>
      <c r="BI1" s="102"/>
      <c r="BJ1" s="514" t="s">
        <v>230</v>
      </c>
      <c r="BK1" s="514"/>
      <c r="BL1" s="514"/>
      <c r="BM1" s="514"/>
    </row>
    <row r="4" spans="1:65" x14ac:dyDescent="0.25">
      <c r="A4" s="104" t="s">
        <v>79</v>
      </c>
      <c r="B4" s="104" t="s">
        <v>79</v>
      </c>
      <c r="C4" s="104" t="s">
        <v>79</v>
      </c>
      <c r="D4" s="104" t="s">
        <v>79</v>
      </c>
      <c r="E4" s="82" t="s">
        <v>23</v>
      </c>
      <c r="F4" s="105" t="s">
        <v>23</v>
      </c>
      <c r="G4" s="105" t="s">
        <v>23</v>
      </c>
      <c r="H4" s="83" t="s">
        <v>121</v>
      </c>
      <c r="I4" s="106" t="s">
        <v>261</v>
      </c>
      <c r="J4" s="107" t="s">
        <v>22</v>
      </c>
      <c r="K4" s="108" t="s">
        <v>121</v>
      </c>
      <c r="L4" s="106" t="s">
        <v>260</v>
      </c>
      <c r="M4" s="107" t="s">
        <v>22</v>
      </c>
      <c r="N4" s="107" t="s">
        <v>22</v>
      </c>
      <c r="O4" s="107" t="s">
        <v>22</v>
      </c>
      <c r="P4" s="84"/>
      <c r="Q4" s="109" t="s">
        <v>52</v>
      </c>
      <c r="R4" s="106" t="s">
        <v>238</v>
      </c>
      <c r="S4" s="107" t="s">
        <v>22</v>
      </c>
      <c r="T4" s="106" t="s">
        <v>239</v>
      </c>
      <c r="U4" s="107" t="s">
        <v>22</v>
      </c>
      <c r="V4" s="84" t="s">
        <v>22</v>
      </c>
      <c r="W4" s="84" t="s">
        <v>22</v>
      </c>
      <c r="X4" s="84" t="s">
        <v>22</v>
      </c>
      <c r="Y4" s="84" t="s">
        <v>22</v>
      </c>
      <c r="Z4" s="84" t="s">
        <v>22</v>
      </c>
      <c r="AA4" s="84" t="s">
        <v>22</v>
      </c>
      <c r="AB4" s="84" t="s">
        <v>22</v>
      </c>
      <c r="AC4" s="84" t="s">
        <v>22</v>
      </c>
      <c r="AD4" s="84" t="s">
        <v>22</v>
      </c>
      <c r="AH4" s="104" t="s">
        <v>79</v>
      </c>
      <c r="AI4" s="104" t="s">
        <v>79</v>
      </c>
      <c r="AJ4" s="104" t="s">
        <v>79</v>
      </c>
      <c r="AK4" s="104" t="s">
        <v>79</v>
      </c>
      <c r="AL4" s="82" t="s">
        <v>23</v>
      </c>
      <c r="AM4" s="105" t="s">
        <v>23</v>
      </c>
      <c r="AN4" s="105" t="s">
        <v>23</v>
      </c>
      <c r="AO4" s="83" t="s">
        <v>121</v>
      </c>
      <c r="AP4" s="106" t="s">
        <v>261</v>
      </c>
      <c r="AQ4" s="107" t="s">
        <v>22</v>
      </c>
      <c r="AR4" s="108" t="s">
        <v>121</v>
      </c>
      <c r="AS4" s="106" t="s">
        <v>260</v>
      </c>
      <c r="AT4" s="107" t="s">
        <v>22</v>
      </c>
      <c r="AU4" s="107" t="s">
        <v>22</v>
      </c>
      <c r="AV4" s="107" t="s">
        <v>22</v>
      </c>
      <c r="AW4" s="84"/>
      <c r="AX4" s="109" t="s">
        <v>52</v>
      </c>
      <c r="AY4" s="110" t="s">
        <v>45</v>
      </c>
      <c r="AZ4" s="84" t="s">
        <v>22</v>
      </c>
      <c r="BA4" s="109" t="s">
        <v>52</v>
      </c>
      <c r="BB4" s="109" t="s">
        <v>52</v>
      </c>
      <c r="BC4" s="110" t="s">
        <v>45</v>
      </c>
      <c r="BD4" s="84" t="s">
        <v>22</v>
      </c>
      <c r="BE4" s="84" t="s">
        <v>22</v>
      </c>
      <c r="BF4" s="84" t="s">
        <v>22</v>
      </c>
      <c r="BG4" s="84" t="s">
        <v>22</v>
      </c>
      <c r="BH4" s="84" t="s">
        <v>22</v>
      </c>
      <c r="BI4" s="84" t="s">
        <v>22</v>
      </c>
      <c r="BJ4" s="84" t="s">
        <v>22</v>
      </c>
      <c r="BK4" s="84" t="s">
        <v>22</v>
      </c>
      <c r="BL4" s="84" t="s">
        <v>22</v>
      </c>
      <c r="BM4" s="84" t="s">
        <v>22</v>
      </c>
    </row>
    <row r="6" spans="1:65" s="111" customFormat="1" ht="66" customHeight="1" x14ac:dyDescent="0.25">
      <c r="A6" s="111" t="s">
        <v>79</v>
      </c>
      <c r="B6" s="112" t="s">
        <v>10</v>
      </c>
      <c r="C6" s="112" t="s">
        <v>11</v>
      </c>
      <c r="D6" s="112" t="s">
        <v>6</v>
      </c>
      <c r="E6" s="113" t="s">
        <v>153</v>
      </c>
      <c r="F6" s="113" t="s">
        <v>61</v>
      </c>
      <c r="G6" s="113" t="s">
        <v>18</v>
      </c>
      <c r="H6" s="113" t="s">
        <v>75</v>
      </c>
      <c r="I6" s="113" t="s">
        <v>252</v>
      </c>
      <c r="J6" s="113" t="s">
        <v>251</v>
      </c>
      <c r="K6" s="113" t="s">
        <v>254</v>
      </c>
      <c r="L6" s="113" t="s">
        <v>256</v>
      </c>
      <c r="M6" s="113" t="s">
        <v>257</v>
      </c>
      <c r="N6" s="113" t="s">
        <v>81</v>
      </c>
      <c r="O6" s="113" t="s">
        <v>82</v>
      </c>
      <c r="P6" s="113" t="s">
        <v>83</v>
      </c>
      <c r="Q6" s="113" t="s">
        <v>50</v>
      </c>
      <c r="R6" s="113" t="s">
        <v>53</v>
      </c>
      <c r="S6" s="113" t="s">
        <v>55</v>
      </c>
      <c r="T6" s="113" t="s">
        <v>59</v>
      </c>
      <c r="U6" s="113" t="s">
        <v>60</v>
      </c>
      <c r="V6" s="113" t="s">
        <v>20</v>
      </c>
      <c r="W6" s="114" t="s">
        <v>80</v>
      </c>
      <c r="X6" s="113" t="s">
        <v>81</v>
      </c>
      <c r="Y6" s="113" t="s">
        <v>82</v>
      </c>
      <c r="Z6" s="113" t="s">
        <v>83</v>
      </c>
      <c r="AA6" s="113" t="s">
        <v>131</v>
      </c>
      <c r="AB6" s="113" t="s">
        <v>130</v>
      </c>
      <c r="AC6" s="113" t="s">
        <v>158</v>
      </c>
      <c r="AD6" s="113" t="s">
        <v>157</v>
      </c>
      <c r="AH6" s="111" t="s">
        <v>79</v>
      </c>
      <c r="AI6" s="112" t="s">
        <v>10</v>
      </c>
      <c r="AJ6" s="112" t="s">
        <v>11</v>
      </c>
      <c r="AK6" s="112" t="s">
        <v>6</v>
      </c>
      <c r="AL6" s="113" t="s">
        <v>153</v>
      </c>
      <c r="AM6" s="113" t="s">
        <v>62</v>
      </c>
      <c r="AN6" s="113" t="s">
        <v>18</v>
      </c>
      <c r="AO6" s="113" t="s">
        <v>76</v>
      </c>
      <c r="AP6" s="113" t="s">
        <v>252</v>
      </c>
      <c r="AQ6" s="113" t="s">
        <v>251</v>
      </c>
      <c r="AR6" s="113" t="s">
        <v>254</v>
      </c>
      <c r="AS6" s="113" t="s">
        <v>256</v>
      </c>
      <c r="AT6" s="113" t="s">
        <v>257</v>
      </c>
      <c r="AU6" s="113" t="s">
        <v>81</v>
      </c>
      <c r="AV6" s="113" t="s">
        <v>82</v>
      </c>
      <c r="AW6" s="113" t="s">
        <v>83</v>
      </c>
      <c r="AX6" s="113" t="s">
        <v>50</v>
      </c>
      <c r="AY6" s="113" t="s">
        <v>53</v>
      </c>
      <c r="AZ6" s="113" t="s">
        <v>55</v>
      </c>
      <c r="BA6" s="114" t="s">
        <v>57</v>
      </c>
      <c r="BB6" s="114" t="s">
        <v>58</v>
      </c>
      <c r="BC6" s="113" t="s">
        <v>59</v>
      </c>
      <c r="BD6" s="113" t="s">
        <v>60</v>
      </c>
      <c r="BE6" s="113" t="s">
        <v>20</v>
      </c>
      <c r="BF6" s="114" t="s">
        <v>80</v>
      </c>
      <c r="BG6" s="113" t="s">
        <v>81</v>
      </c>
      <c r="BH6" s="113" t="s">
        <v>82</v>
      </c>
      <c r="BI6" s="113" t="s">
        <v>83</v>
      </c>
      <c r="BJ6" s="113" t="s">
        <v>131</v>
      </c>
      <c r="BK6" s="113" t="s">
        <v>130</v>
      </c>
      <c r="BL6" s="113" t="s">
        <v>129</v>
      </c>
      <c r="BM6" s="113" t="s">
        <v>157</v>
      </c>
    </row>
    <row r="7" spans="1:65" ht="18.75" x14ac:dyDescent="0.35">
      <c r="A7" s="88" t="s">
        <v>79</v>
      </c>
      <c r="B7" s="88" t="s">
        <v>79</v>
      </c>
      <c r="C7" s="88" t="s">
        <v>79</v>
      </c>
      <c r="D7" s="88" t="s">
        <v>79</v>
      </c>
      <c r="E7" s="88" t="s">
        <v>154</v>
      </c>
      <c r="F7" s="88" t="s">
        <v>126</v>
      </c>
      <c r="G7" s="88" t="s">
        <v>19</v>
      </c>
      <c r="H7" s="88" t="s">
        <v>21</v>
      </c>
      <c r="I7" s="88" t="s">
        <v>253</v>
      </c>
      <c r="J7" s="88" t="s">
        <v>201</v>
      </c>
      <c r="K7" s="88" t="s">
        <v>34</v>
      </c>
      <c r="L7" s="88" t="s">
        <v>255</v>
      </c>
      <c r="M7" s="88" t="s">
        <v>203</v>
      </c>
      <c r="N7" s="88" t="s">
        <v>203</v>
      </c>
      <c r="O7" s="88" t="s">
        <v>203</v>
      </c>
      <c r="P7" s="88" t="s">
        <v>203</v>
      </c>
      <c r="Q7" s="88" t="s">
        <v>51</v>
      </c>
      <c r="R7" s="88" t="s">
        <v>54</v>
      </c>
      <c r="S7" s="88" t="s">
        <v>56</v>
      </c>
      <c r="T7" s="88"/>
      <c r="U7" s="88" t="s">
        <v>56</v>
      </c>
      <c r="V7" s="88" t="s">
        <v>201</v>
      </c>
      <c r="W7" s="88" t="s">
        <v>203</v>
      </c>
      <c r="X7" s="88" t="s">
        <v>203</v>
      </c>
      <c r="Y7" s="88" t="s">
        <v>203</v>
      </c>
      <c r="Z7" s="88" t="s">
        <v>203</v>
      </c>
      <c r="AA7" s="88" t="s">
        <v>269</v>
      </c>
      <c r="AB7" s="88" t="s">
        <v>270</v>
      </c>
      <c r="AC7" s="115" t="s">
        <v>271</v>
      </c>
      <c r="AD7" s="29" t="s">
        <v>272</v>
      </c>
      <c r="AH7" s="88" t="s">
        <v>79</v>
      </c>
      <c r="AI7" s="88" t="s">
        <v>79</v>
      </c>
      <c r="AJ7" s="88" t="s">
        <v>79</v>
      </c>
      <c r="AK7" s="88" t="s">
        <v>79</v>
      </c>
      <c r="AL7" s="88" t="s">
        <v>154</v>
      </c>
      <c r="AM7" s="88" t="s">
        <v>126</v>
      </c>
      <c r="AN7" s="88" t="s">
        <v>19</v>
      </c>
      <c r="AO7" s="88" t="s">
        <v>25</v>
      </c>
      <c r="AP7" s="88" t="s">
        <v>253</v>
      </c>
      <c r="AQ7" s="88" t="s">
        <v>201</v>
      </c>
      <c r="AR7" s="88" t="s">
        <v>34</v>
      </c>
      <c r="AS7" s="88" t="s">
        <v>255</v>
      </c>
      <c r="AT7" s="88" t="s">
        <v>203</v>
      </c>
      <c r="AU7" s="88" t="s">
        <v>203</v>
      </c>
      <c r="AV7" s="88" t="s">
        <v>203</v>
      </c>
      <c r="AW7" s="88" t="s">
        <v>203</v>
      </c>
      <c r="AX7" s="88" t="s">
        <v>51</v>
      </c>
      <c r="AY7" s="88" t="s">
        <v>54</v>
      </c>
      <c r="AZ7" s="88" t="s">
        <v>56</v>
      </c>
      <c r="BA7" s="88" t="s">
        <v>39</v>
      </c>
      <c r="BB7" s="88" t="s">
        <v>51</v>
      </c>
      <c r="BC7" s="88"/>
      <c r="BD7" s="88" t="s">
        <v>56</v>
      </c>
      <c r="BE7" s="88" t="s">
        <v>122</v>
      </c>
      <c r="BF7" s="88" t="s">
        <v>128</v>
      </c>
      <c r="BG7" s="88" t="s">
        <v>128</v>
      </c>
      <c r="BH7" s="88" t="s">
        <v>128</v>
      </c>
      <c r="BI7" s="88" t="s">
        <v>128</v>
      </c>
      <c r="BJ7" s="88" t="s">
        <v>269</v>
      </c>
      <c r="BK7" s="88" t="s">
        <v>270</v>
      </c>
      <c r="BL7" s="115" t="s">
        <v>271</v>
      </c>
      <c r="BM7" s="29" t="s">
        <v>272</v>
      </c>
    </row>
    <row r="8" spans="1:65" x14ac:dyDescent="0.25">
      <c r="E8" s="88"/>
      <c r="F8" s="88"/>
      <c r="G8" s="88"/>
      <c r="H8" s="88"/>
      <c r="I8" s="88"/>
      <c r="J8" s="88"/>
      <c r="K8" s="88"/>
      <c r="L8" s="88"/>
      <c r="M8" s="88"/>
      <c r="N8" s="88"/>
      <c r="O8" s="88"/>
      <c r="P8" s="88"/>
      <c r="Q8" s="88"/>
      <c r="R8" s="88"/>
      <c r="S8" s="88"/>
      <c r="T8" s="88"/>
      <c r="U8" s="88"/>
      <c r="V8" s="88"/>
      <c r="W8" s="88"/>
      <c r="X8" s="88"/>
      <c r="Y8" s="88"/>
      <c r="Z8" s="88"/>
      <c r="AA8" s="88"/>
      <c r="AB8" s="88"/>
      <c r="AC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row>
    <row r="9" spans="1:65" x14ac:dyDescent="0.25">
      <c r="A9" s="29" t="str">
        <f>B9&amp;C9</f>
        <v>BisonEuropean (360 – 990 kg)</v>
      </c>
      <c r="B9" s="29" t="str">
        <f>'Conservation grazing tool'!C31</f>
        <v>Bison</v>
      </c>
      <c r="C9" s="29" t="str">
        <f>IF(ISTEXT('Conservation grazing tool'!D31)=TRUE,'Conservation grazing tool'!D31,"")</f>
        <v>European (360 – 990 kg)</v>
      </c>
      <c r="D9" s="29" t="e">
        <f>INDEX('Conservation grazing tool'!$C$20:$C$22,MATCH(MAX('Conservation grazing tool'!$D$20:$D$22),'Conservation grazing tool'!$D$20:$D$22,0))</f>
        <v>#N/A</v>
      </c>
      <c r="E9" s="88">
        <f>IF(ISNUMBER('Conservation grazing tool'!$D$20)=TRUE,'Conservation grazing tool'!$D$20,0)+IF(ISNUMBER('Conservation grazing tool'!$D$21)=TRUE,'Conservation grazing tool'!$D$21,0)+IF(ISNUMBER('Conservation grazing tool'!$D$22)=TRUE,'Conservation grazing tool'!$D$22,0)</f>
        <v>0</v>
      </c>
      <c r="F9" s="88">
        <f>IF(ISNUMBER('Conservation grazing tool'!F31)=TRUE,'Conservation grazing tool'!F31,0)</f>
        <v>0</v>
      </c>
      <c r="G9" s="88">
        <f>IF(ISNUMBER('Conservation grazing tool'!H31)=TRUE,'Conservation grazing tool'!H31*365/100,0)</f>
        <v>0</v>
      </c>
      <c r="H9" s="88">
        <f>INDEX('Livestock assumptions'!$E$8:$E$17,MATCH(A9,'Livestock assumptions'!$B$8:$B$17,0))</f>
        <v>675</v>
      </c>
      <c r="I9" s="88">
        <f>INDEX('Livestock factors - IPCC'!$O$9:$O$39,MATCH(A9,'Livestock factors - IPCC'!$B$9:$B$39,0))</f>
        <v>0.45</v>
      </c>
      <c r="J9" s="119">
        <f>I9*(H9/1000)*G9</f>
        <v>0</v>
      </c>
      <c r="K9" s="88">
        <f>'GHG Factors'!$D$8</f>
        <v>1</v>
      </c>
      <c r="L9" s="117">
        <f>IF(B9="Sheep",'GHG Factors'!$D$19,IF(B9="Equine",'GHG Factors'!$D$19,'GHG Factors'!$D$18))</f>
        <v>4.0000000000000001E-3</v>
      </c>
      <c r="M9" s="119">
        <f>(((F9*J9)*K9*L9))</f>
        <v>0</v>
      </c>
      <c r="N9" s="119">
        <f>F9*J9*'GHG Factors'!$D$22*'GHG Factors'!$D$20</f>
        <v>0</v>
      </c>
      <c r="O9" s="119">
        <f>F9*J9*'GHG Factors'!$D$8*'GHG Factors'!$D$23*'GHG Factors'!$D$21</f>
        <v>0</v>
      </c>
      <c r="P9" s="119">
        <f>N9+O9</f>
        <v>0</v>
      </c>
      <c r="Q9" s="119" t="str">
        <f>INDEX('Enteric methane'!$R$9:$R$11,MATCH('N calculations'!A9,'Enteric methane'!$A$9:$A$11,0))</f>
        <v xml:space="preserve"> </v>
      </c>
      <c r="R9" s="88" t="e">
        <f>INDEX('Habitat assumptions'!$G$7:$G$14,MATCH('N calculations'!D9,'Habitat assumptions'!$B$7:$B$14,0))</f>
        <v>#N/A</v>
      </c>
      <c r="S9" s="124" t="e">
        <f>(Q9/'GHG Factors'!$D$16)*(R9/100/'GHG Factors'!$D$17)</f>
        <v>#VALUE!</v>
      </c>
      <c r="T9" s="119">
        <f>INDEX('Livestock factors - IPCC'!$P$9:$P$39,MATCH(A9,'Livestock factors - IPCC'!$B$9:$B$39,0))</f>
        <v>0.06</v>
      </c>
      <c r="U9" s="124" t="e">
        <f>S9*(1-T9)</f>
        <v>#VALUE!</v>
      </c>
      <c r="V9" s="124" t="e">
        <f>U9*G9</f>
        <v>#VALUE!</v>
      </c>
      <c r="W9" s="124" t="e">
        <f>IF(B9="Sheep",F9*V9*'GHG Factors'!$D$19,IF(B9="Equine",F9*V9*'GHG Factors'!$D$19,F9*V9*'GHG Factors'!$D$18))</f>
        <v>#VALUE!</v>
      </c>
      <c r="X9" s="124" t="e">
        <f>F9*V9*'GHG Factors'!$D$22*'GHG Factors'!$D$20</f>
        <v>#VALUE!</v>
      </c>
      <c r="Y9" s="124" t="e">
        <f>F9*V9*'GHG Factors'!$D$23*'GHG Factors'!$D$21</f>
        <v>#VALUE!</v>
      </c>
      <c r="Z9" s="124" t="e">
        <f>X9+Y9</f>
        <v>#VALUE!</v>
      </c>
      <c r="AA9" s="123" t="e">
        <f>IF(B9="Equine",(M9+P9),(W9+Z9))/1000</f>
        <v>#VALUE!</v>
      </c>
      <c r="AB9" s="123" t="e">
        <f>AA9*'GHG Factors'!$D$24</f>
        <v>#VALUE!</v>
      </c>
      <c r="AC9" s="123" t="e">
        <f>AB9*'GHG Factors'!$D$25</f>
        <v>#VALUE!</v>
      </c>
      <c r="AD9" s="310" t="e">
        <f>AC9/E9</f>
        <v>#VALUE!</v>
      </c>
      <c r="AH9" s="29" t="str">
        <f>AI9&amp;AJ9</f>
        <v>BisonEuropean (360 – 990 kg)</v>
      </c>
      <c r="AI9" s="29" t="str">
        <f>'Conservation grazing tool'!C31</f>
        <v>Bison</v>
      </c>
      <c r="AJ9" s="29" t="str">
        <f>IF(ISTEXT('Conservation grazing tool'!D31)=TRUE,'Conservation grazing tool'!D31,"")</f>
        <v>European (360 – 990 kg)</v>
      </c>
      <c r="AK9" s="29" t="e">
        <f>INDEX('Conservation grazing tool'!$C$20:$C$22,MATCH(MAX('Conservation grazing tool'!$D$20:$D$22),'Conservation grazing tool'!$D$20:$D$22,0))</f>
        <v>#N/A</v>
      </c>
      <c r="AL9" s="88">
        <f>IF(ISNUMBER('Conservation grazing tool'!$D$20)=TRUE,'Conservation grazing tool'!$D$20,0)+IF(ISNUMBER('Conservation grazing tool'!$D$21)=TRUE,'Conservation grazing tool'!$D$21,0)+IF(ISNUMBER('Conservation grazing tool'!$D$22)=TRUE,'Conservation grazing tool'!$D$22,0)</f>
        <v>0</v>
      </c>
      <c r="AM9" s="88">
        <f>IF(ISNUMBER('Conservation grazing tool'!G31)=TRUE,'Conservation grazing tool'!G31,0)</f>
        <v>0</v>
      </c>
      <c r="AN9" s="88">
        <f>IF(ISNUMBER('Conservation grazing tool'!H31)=TRUE,'Conservation grazing tool'!H31*365/100,0)</f>
        <v>0</v>
      </c>
      <c r="AO9" s="88">
        <f>INDEX('Livestock assumptions'!$F$8:$F$17,MATCH('N calculations'!AH9,'Livestock assumptions'!$B$8:$B$17,0))</f>
        <v>270</v>
      </c>
      <c r="AP9" s="88">
        <f>INDEX('Livestock factors - IPCC'!$O$9:$O$39,MATCH(AH9,'Livestock factors - IPCC'!$B$9:$B$39,0))</f>
        <v>0.45</v>
      </c>
      <c r="AQ9" s="88">
        <f>AP9*(AO9/1000)*AN9</f>
        <v>0</v>
      </c>
      <c r="AR9" s="88">
        <f>'GHG Factors'!$D$8</f>
        <v>1</v>
      </c>
      <c r="AS9" s="88">
        <f>IF(AI9="Sheep",'GHG Factors'!$D$19,IF(AI9="Equine",'GHG Factors'!$D$19,'GHG Factors'!$D$18))</f>
        <v>4.0000000000000001E-3</v>
      </c>
      <c r="AT9" s="88">
        <f>(((AM9*AQ9)*AR9*AS9))</f>
        <v>0</v>
      </c>
      <c r="AU9" s="88">
        <f>AM9*AQ9*'GHG Factors'!$D$22*'GHG Factors'!$D$20</f>
        <v>0</v>
      </c>
      <c r="AV9" s="88">
        <f>AM9*AQ9*'GHG Factors'!$D$8*'GHG Factors'!$D$23*'GHG Factors'!$D$21</f>
        <v>0</v>
      </c>
      <c r="AW9" s="88">
        <f>AU9+AV9</f>
        <v>0</v>
      </c>
      <c r="AX9" s="88" t="str">
        <f>INDEX('Enteric methane'!$BG$9:$BG$11,MATCH('N calculations'!AH9,'Enteric methane'!$AF$9:$AF$11,0))</f>
        <v xml:space="preserve"> </v>
      </c>
      <c r="AY9" s="88" t="e">
        <f>INDEX('Habitat assumptions'!$G$7:$G$14,MATCH('N calculations'!AK9,'Habitat assumptions'!$B$7:$B$14,0))</f>
        <v>#N/A</v>
      </c>
      <c r="AZ9" s="118" t="e">
        <f>(AX9/'GHG Factors'!$D$16)*(AY9/100/'GHG Factors'!$D$17)</f>
        <v>#VALUE!</v>
      </c>
      <c r="BA9" s="118">
        <f>IF(AI9="Sheep",INDEX('Enteric methane'!$AY$9:$AY$11,MATCH(AH9,'Enteric methane'!$AF$9:$AF$11,0)),INDEX('Enteric methane'!$AV$9:$AV$11,MATCH(AH9,'Enteric methane'!$AF$9:$AF$11,0)))</f>
        <v>0</v>
      </c>
      <c r="BB9" s="124">
        <f>IF(AI9="Sheep",INDEX('Enteric methane'!$BC$9:$BC$11,MATCH(AH9,'Enteric methane'!$AF$9:$AF$11,0)),INDEX('Enteric methane'!$AZ$9:$AZ$11,MATCH(AH9,'Enteric methane'!$AF$9:$AF$11,0)))</f>
        <v>0</v>
      </c>
      <c r="BC9" s="119">
        <f>INDEX('Livestock factors - IPCC'!$P$9:$P$39,MATCH(AH9,'Livestock factors - IPCC'!$B$9:$B$39,0))</f>
        <v>0.06</v>
      </c>
      <c r="BD9" s="120" t="e">
        <f>AZ9*(1-BC9)</f>
        <v>#VALUE!</v>
      </c>
      <c r="BE9" s="120" t="e">
        <f>BD9*AN9</f>
        <v>#VALUE!</v>
      </c>
      <c r="BF9" s="120" t="e">
        <f>IF(AI9="Sheep",(AM9)*BE9*'GHG Factors'!$D$19,IF(AI9="Equine",(AM9)*BE9*'GHG Factors'!$D$19,(AM9)*BE9*'GHG Factors'!$D$18))</f>
        <v>#VALUE!</v>
      </c>
      <c r="BG9" s="120" t="e">
        <f>AM9*BE9*'GHG Factors'!$D$22*'GHG Factors'!$D$20</f>
        <v>#VALUE!</v>
      </c>
      <c r="BH9" s="120" t="e">
        <f>AM9*BE9*'GHG Factors'!$D$23*'GHG Factors'!$D$21</f>
        <v>#VALUE!</v>
      </c>
      <c r="BI9" s="120" t="e">
        <f>BG9+BH9</f>
        <v>#VALUE!</v>
      </c>
      <c r="BJ9" s="122" t="e">
        <f>IF(AI9="Equine",(AT9+AW9),(BF9+BI9))/1000</f>
        <v>#VALUE!</v>
      </c>
      <c r="BK9" s="120" t="e">
        <f>BJ9*'GHG Factors'!$D$24</f>
        <v>#VALUE!</v>
      </c>
      <c r="BL9" s="123" t="e">
        <f>BK9*'GHG Factors'!$D$25</f>
        <v>#VALUE!</v>
      </c>
      <c r="BM9" s="116" t="e">
        <f>BL9/AL9</f>
        <v>#VALUE!</v>
      </c>
    </row>
    <row r="10" spans="1:65" x14ac:dyDescent="0.25">
      <c r="A10" s="29" t="str">
        <f t="shared" ref="A10:A11" si="0">B10&amp;C10</f>
        <v>Water buffaloStandard (300 – 600 kg)</v>
      </c>
      <c r="B10" s="29" t="str">
        <f>'Conservation grazing tool'!C32</f>
        <v>Water buffalo</v>
      </c>
      <c r="C10" s="29" t="str">
        <f>IF(ISTEXT('Conservation grazing tool'!D32)=TRUE,'Conservation grazing tool'!D32,"")</f>
        <v>Standard (300 – 600 kg)</v>
      </c>
      <c r="D10" s="29" t="e">
        <f>INDEX('Conservation grazing tool'!$C$20:$C$22,MATCH(MAX('Conservation grazing tool'!$D$20:$D$22),'Conservation grazing tool'!$D$20:$D$22,0))</f>
        <v>#N/A</v>
      </c>
      <c r="E10" s="88">
        <f>IF(ISNUMBER('Conservation grazing tool'!$D$20)=TRUE,'Conservation grazing tool'!$D$20,0)+IF(ISNUMBER('Conservation grazing tool'!$D$21)=TRUE,'Conservation grazing tool'!$D$21,0)+IF(ISNUMBER('Conservation grazing tool'!$D$22)=TRUE,'Conservation grazing tool'!$D$22,0)</f>
        <v>0</v>
      </c>
      <c r="F10" s="88">
        <f>IF(ISNUMBER('Conservation grazing tool'!F32)=TRUE,'Conservation grazing tool'!F32,0)</f>
        <v>0</v>
      </c>
      <c r="G10" s="88">
        <f>IF(ISNUMBER('Conservation grazing tool'!H32)=TRUE,'Conservation grazing tool'!H32*365/100,0)</f>
        <v>0</v>
      </c>
      <c r="H10" s="88">
        <f>INDEX('Livestock assumptions'!$E$8:$E$17,MATCH(A10,'Livestock assumptions'!$B$8:$B$17,0))</f>
        <v>450</v>
      </c>
      <c r="I10" s="88">
        <f>INDEX('Livestock factors - IPCC'!$O$9:$O$39,MATCH(A10,'Livestock factors - IPCC'!$B$9:$B$39,0))</f>
        <v>0.45</v>
      </c>
      <c r="J10" s="119">
        <f t="shared" ref="J10:J11" si="1">I10*(H10/1000)*G10</f>
        <v>0</v>
      </c>
      <c r="K10" s="88">
        <f>'GHG Factors'!$D$8</f>
        <v>1</v>
      </c>
      <c r="L10" s="117">
        <f>IF(B10="Sheep",'GHG Factors'!$D$19,IF(B10="Equine",'GHG Factors'!$D$19,'GHG Factors'!$D$18))</f>
        <v>4.0000000000000001E-3</v>
      </c>
      <c r="M10" s="119">
        <f>(((F10*J10)*K10*L10))</f>
        <v>0</v>
      </c>
      <c r="N10" s="119">
        <f>F10*J10*'GHG Factors'!$D$22*'GHG Factors'!$D$20</f>
        <v>0</v>
      </c>
      <c r="O10" s="119">
        <f>F10*J10*'GHG Factors'!$D$8*'GHG Factors'!$D$23*'GHG Factors'!$D$21</f>
        <v>0</v>
      </c>
      <c r="P10" s="119">
        <f t="shared" ref="P10:P11" si="2">N10+O10</f>
        <v>0</v>
      </c>
      <c r="Q10" s="119" t="str">
        <f>INDEX('Enteric methane'!$R$9:$R$11,MATCH('N calculations'!A10,'Enteric methane'!$A$9:$A$11,0))</f>
        <v xml:space="preserve"> </v>
      </c>
      <c r="R10" s="88" t="e">
        <f>INDEX('Habitat assumptions'!$G$7:$G$14,MATCH('N calculations'!D10,'Habitat assumptions'!$B$7:$B$14,0))</f>
        <v>#N/A</v>
      </c>
      <c r="S10" s="124" t="e">
        <f>(Q10/'GHG Factors'!$D$16)*(R10/100/'GHG Factors'!$D$17)</f>
        <v>#VALUE!</v>
      </c>
      <c r="T10" s="119">
        <f>INDEX('Livestock factors - IPCC'!$P$9:$P$39,MATCH(A10,'Livestock factors - IPCC'!$B$9:$B$39,0))</f>
        <v>0.06</v>
      </c>
      <c r="U10" s="124" t="e">
        <f t="shared" ref="U10:U11" si="3">S10*(1-T10)</f>
        <v>#VALUE!</v>
      </c>
      <c r="V10" s="124" t="e">
        <f>U10*G10</f>
        <v>#VALUE!</v>
      </c>
      <c r="W10" s="124" t="e">
        <f>IF(B10="Sheep",F10*V10*'GHG Factors'!$D$19,IF(B10="Equine",F10*V10*'GHG Factors'!$D$19,F10*V10*'GHG Factors'!$D$18))</f>
        <v>#VALUE!</v>
      </c>
      <c r="X10" s="124" t="e">
        <f>F10*V10*'GHG Factors'!$D$22*'GHG Factors'!$D$20</f>
        <v>#VALUE!</v>
      </c>
      <c r="Y10" s="124" t="e">
        <f>F10*V10*'GHG Factors'!$D$23*'GHG Factors'!$D$21</f>
        <v>#VALUE!</v>
      </c>
      <c r="Z10" s="124" t="e">
        <f t="shared" ref="Z10:Z11" si="4">X10+Y10</f>
        <v>#VALUE!</v>
      </c>
      <c r="AA10" s="123" t="e">
        <f t="shared" ref="AA10:AA11" si="5">IF(B10="Equine",(M10+P10),(W10+Z10))/1000</f>
        <v>#VALUE!</v>
      </c>
      <c r="AB10" s="123" t="e">
        <f>AA10*'GHG Factors'!$D$24</f>
        <v>#VALUE!</v>
      </c>
      <c r="AC10" s="123" t="e">
        <f>AB10*'GHG Factors'!$D$25</f>
        <v>#VALUE!</v>
      </c>
      <c r="AD10" s="310" t="e">
        <f>AC10/E10</f>
        <v>#VALUE!</v>
      </c>
      <c r="AH10" s="29" t="str">
        <f t="shared" ref="AH10:AH11" si="6">AI10&amp;AJ10</f>
        <v>Water buffaloStandard (300 – 600 kg)</v>
      </c>
      <c r="AI10" s="29" t="str">
        <f>'Conservation grazing tool'!C32</f>
        <v>Water buffalo</v>
      </c>
      <c r="AJ10" s="29" t="str">
        <f>IF(ISTEXT('Conservation grazing tool'!D32)=TRUE,'Conservation grazing tool'!D32,"")</f>
        <v>Standard (300 – 600 kg)</v>
      </c>
      <c r="AK10" s="29" t="e">
        <f>INDEX('Conservation grazing tool'!$C$20:$C$22,MATCH(MAX('Conservation grazing tool'!$D$20:$D$22),'Conservation grazing tool'!$D$20:$D$22,0))</f>
        <v>#N/A</v>
      </c>
      <c r="AL10" s="88">
        <f>IF(ISNUMBER('Conservation grazing tool'!$D$20)=TRUE,'Conservation grazing tool'!$D$20,0)+IF(ISNUMBER('Conservation grazing tool'!$D$21)=TRUE,'Conservation grazing tool'!$D$21,0)+IF(ISNUMBER('Conservation grazing tool'!$D$22)=TRUE,'Conservation grazing tool'!$D$22,0)</f>
        <v>0</v>
      </c>
      <c r="AM10" s="88">
        <f>IF(ISNUMBER('Conservation grazing tool'!G32)=TRUE,'Conservation grazing tool'!G32,0)</f>
        <v>0</v>
      </c>
      <c r="AN10" s="88">
        <f>IF(ISNUMBER('Conservation grazing tool'!H32)=TRUE,'Conservation grazing tool'!H32*365/100,0)</f>
        <v>0</v>
      </c>
      <c r="AO10" s="88">
        <f>INDEX('Livestock assumptions'!$F$8:$F$17,MATCH('N calculations'!AH10,'Livestock assumptions'!$B$8:$B$17,0))</f>
        <v>180</v>
      </c>
      <c r="AP10" s="88">
        <f>INDEX('Livestock factors - IPCC'!$O$9:$O$39,MATCH(AH10,'Livestock factors - IPCC'!$B$9:$B$39,0))</f>
        <v>0.45</v>
      </c>
      <c r="AQ10" s="88">
        <f t="shared" ref="AQ10:AQ11" si="7">AP10*(AO10/1000)*AN10</f>
        <v>0</v>
      </c>
      <c r="AR10" s="88">
        <f>'GHG Factors'!$D$8</f>
        <v>1</v>
      </c>
      <c r="AS10" s="88">
        <f>IF(AI10="Sheep",'GHG Factors'!$D$19,IF(AI10="Equine",'GHG Factors'!$D$19,'GHG Factors'!$D$18))</f>
        <v>4.0000000000000001E-3</v>
      </c>
      <c r="AT10" s="88">
        <f t="shared" ref="AT10:AT11" si="8">(((AM10*AQ10)*AR10*AS10))</f>
        <v>0</v>
      </c>
      <c r="AU10" s="88">
        <f>AM10*AQ10*'GHG Factors'!$D$22*'GHG Factors'!$D$20</f>
        <v>0</v>
      </c>
      <c r="AV10" s="88">
        <f>AM10*AQ10*'GHG Factors'!$D$8*'GHG Factors'!$D$23*'GHG Factors'!$D$21</f>
        <v>0</v>
      </c>
      <c r="AW10" s="88">
        <f t="shared" ref="AW10:AW11" si="9">AU10+AV10</f>
        <v>0</v>
      </c>
      <c r="AX10" s="88" t="str">
        <f>INDEX('Enteric methane'!$BG$9:$BG$11,MATCH('N calculations'!AH10,'Enteric methane'!$AF$9:$AF$11,0))</f>
        <v xml:space="preserve"> </v>
      </c>
      <c r="AY10" s="88" t="e">
        <f>INDEX('Habitat assumptions'!$G$7:$G$14,MATCH('N calculations'!AK10,'Habitat assumptions'!$B$7:$B$14,0))</f>
        <v>#N/A</v>
      </c>
      <c r="AZ10" s="118" t="e">
        <f>(AX10/'GHG Factors'!$D$16)*(AY10/100/'GHG Factors'!$D$17)</f>
        <v>#VALUE!</v>
      </c>
      <c r="BA10" s="118">
        <f>IF(AI10="Sheep",INDEX('Enteric methane'!$AY$9:$AY$11,MATCH(AH10,'Enteric methane'!$AF$9:$AF$11,0)),INDEX('Enteric methane'!$AV$9:$AV$11,MATCH(AH10,'Enteric methane'!$AF$9:$AF$11,0)))</f>
        <v>0</v>
      </c>
      <c r="BB10" s="124">
        <f>IF(AI10="Sheep",INDEX('Enteric methane'!$BC$9:$BC$11,MATCH(AH10,'Enteric methane'!$AF$9:$AF$11,0)),INDEX('Enteric methane'!$AZ$9:$AZ$11,MATCH(AH10,'Enteric methane'!$AF$9:$AF$11,0)))</f>
        <v>0</v>
      </c>
      <c r="BC10" s="119">
        <f>INDEX('Livestock factors - IPCC'!$P$9:$P$39,MATCH(AH10,'Livestock factors - IPCC'!$B$9:$B$39,0))</f>
        <v>0.06</v>
      </c>
      <c r="BD10" s="120" t="e">
        <f t="shared" ref="BD10:BD11" si="10">AZ10*(1-BC10)</f>
        <v>#VALUE!</v>
      </c>
      <c r="BE10" s="120" t="e">
        <f>BD10*AN10</f>
        <v>#VALUE!</v>
      </c>
      <c r="BF10" s="120" t="e">
        <f>IF(AI10="Sheep",(AM10)*BE10*'GHG Factors'!$D$19,IF(AI10="Equine",(AM10)*BE10*'GHG Factors'!$D$19,(AM10)*BE10*'GHG Factors'!$D$18))</f>
        <v>#VALUE!</v>
      </c>
      <c r="BG10" s="120" t="e">
        <f>AM10*BE10*'GHG Factors'!$D$22*'GHG Factors'!$D$20</f>
        <v>#VALUE!</v>
      </c>
      <c r="BH10" s="120" t="e">
        <f>AM10*BE10*'GHG Factors'!$D$23*'GHG Factors'!$D$21</f>
        <v>#VALUE!</v>
      </c>
      <c r="BI10" s="120" t="e">
        <f t="shared" ref="BI10:BI11" si="11">BG10+BH10</f>
        <v>#VALUE!</v>
      </c>
      <c r="BJ10" s="122" t="e">
        <f t="shared" ref="BJ10:BJ11" si="12">IF(AI10="Equine",(AT10+AW10),(BF10+BI10))/1000</f>
        <v>#VALUE!</v>
      </c>
      <c r="BK10" s="120" t="e">
        <f>BJ10*'GHG Factors'!$D$24</f>
        <v>#VALUE!</v>
      </c>
      <c r="BL10" s="123" t="e">
        <f>BK10*'GHG Factors'!$D$25</f>
        <v>#VALUE!</v>
      </c>
      <c r="BM10" s="116" t="e">
        <f>BL10/AL10</f>
        <v>#VALUE!</v>
      </c>
    </row>
    <row r="11" spans="1:65" x14ac:dyDescent="0.25">
      <c r="A11" s="29" t="str">
        <f t="shared" si="0"/>
        <v>CattleMedium (500 kg - 700 kg)</v>
      </c>
      <c r="B11" s="29" t="str">
        <f>'Conservation grazing tool'!C33</f>
        <v>Cattle</v>
      </c>
      <c r="C11" s="29" t="str">
        <f>IF(ISTEXT('Conservation grazing tool'!D33)=TRUE,'Conservation grazing tool'!D33,"")</f>
        <v>Medium (500 kg - 700 kg)</v>
      </c>
      <c r="D11" s="29" t="e">
        <f>INDEX('Conservation grazing tool'!$C$20:$C$22,MATCH(MAX('Conservation grazing tool'!$D$20:$D$22),'Conservation grazing tool'!$D$20:$D$22,0))</f>
        <v>#N/A</v>
      </c>
      <c r="E11" s="88">
        <f>IF(ISNUMBER('Conservation grazing tool'!$D$20)=TRUE,'Conservation grazing tool'!$D$20,0)+IF(ISNUMBER('Conservation grazing tool'!$D$21)=TRUE,'Conservation grazing tool'!$D$21,0)+IF(ISNUMBER('Conservation grazing tool'!$D$22)=TRUE,'Conservation grazing tool'!$D$22,0)</f>
        <v>0</v>
      </c>
      <c r="F11" s="88">
        <f>IF(ISNUMBER('Conservation grazing tool'!F33)=TRUE,'Conservation grazing tool'!F33,0)</f>
        <v>0</v>
      </c>
      <c r="G11" s="88">
        <f>IF(ISNUMBER('Conservation grazing tool'!H33)=TRUE,'Conservation grazing tool'!H33*365/100,0)</f>
        <v>0</v>
      </c>
      <c r="H11" s="88">
        <f>INDEX('Livestock assumptions'!$E$8:$E$17,MATCH(A11,'Livestock assumptions'!$B$8:$B$17,0))</f>
        <v>500</v>
      </c>
      <c r="I11" s="88">
        <f>INDEX('Livestock factors - IPCC'!$O$9:$O$39,MATCH(A11,'Livestock factors - IPCC'!$B$9:$B$39,0))</f>
        <v>0.42</v>
      </c>
      <c r="J11" s="119">
        <f t="shared" si="1"/>
        <v>0</v>
      </c>
      <c r="K11" s="88">
        <f>'GHG Factors'!$D$8</f>
        <v>1</v>
      </c>
      <c r="L11" s="117">
        <f>IF(B11="Sheep",'GHG Factors'!$D$19,IF(B11="Equine",'GHG Factors'!$D$19,'GHG Factors'!$D$18))</f>
        <v>4.0000000000000001E-3</v>
      </c>
      <c r="M11" s="119">
        <f>(((F11*J11)*K11*L11))</f>
        <v>0</v>
      </c>
      <c r="N11" s="119">
        <f>F11*J11*'GHG Factors'!$D$22*'GHG Factors'!$D$20</f>
        <v>0</v>
      </c>
      <c r="O11" s="119">
        <f>F11*J11*'GHG Factors'!$D$8*'GHG Factors'!$D$23*'GHG Factors'!$D$21</f>
        <v>0</v>
      </c>
      <c r="P11" s="119">
        <f t="shared" si="2"/>
        <v>0</v>
      </c>
      <c r="Q11" s="119" t="str">
        <f>INDEX('Enteric methane'!$R$9:$R$11,MATCH('N calculations'!A11,'Enteric methane'!$A$9:$A$11,0))</f>
        <v xml:space="preserve"> </v>
      </c>
      <c r="R11" s="88" t="e">
        <f>INDEX('Habitat assumptions'!$G$7:$G$14,MATCH('N calculations'!D11,'Habitat assumptions'!$B$7:$B$14,0))</f>
        <v>#N/A</v>
      </c>
      <c r="S11" s="118" t="e">
        <f>(Q11/'GHG Factors'!$D$16)*(R11/100/'GHG Factors'!$D$17)</f>
        <v>#VALUE!</v>
      </c>
      <c r="T11" s="119">
        <f>INDEX('Livestock factors - IPCC'!$P$9:$P$39,MATCH(A11,'Livestock factors - IPCC'!$B$9:$B$39,0))</f>
        <v>0.04</v>
      </c>
      <c r="U11" s="120" t="e">
        <f t="shared" si="3"/>
        <v>#VALUE!</v>
      </c>
      <c r="V11" s="120" t="e">
        <f>U11*G11</f>
        <v>#VALUE!</v>
      </c>
      <c r="W11" s="121" t="e">
        <f>IF(B11="Sheep",F11*V11*'GHG Factors'!$D$19,IF(B11="Equine",F11*V11*'GHG Factors'!$D$19,F11*V11*'GHG Factors'!$D$18))</f>
        <v>#VALUE!</v>
      </c>
      <c r="X11" s="120" t="e">
        <f>F11*V11*'GHG Factors'!$D$22*'GHG Factors'!$D$20</f>
        <v>#VALUE!</v>
      </c>
      <c r="Y11" s="120" t="e">
        <f>F11*V11*'GHG Factors'!$D$23*'GHG Factors'!$D$21</f>
        <v>#VALUE!</v>
      </c>
      <c r="Z11" s="120" t="e">
        <f t="shared" si="4"/>
        <v>#VALUE!</v>
      </c>
      <c r="AA11" s="123" t="e">
        <f t="shared" si="5"/>
        <v>#VALUE!</v>
      </c>
      <c r="AB11" s="123" t="e">
        <f>AA11*'GHG Factors'!$D$24</f>
        <v>#VALUE!</v>
      </c>
      <c r="AC11" s="123" t="e">
        <f>AB11*'GHG Factors'!$D$25</f>
        <v>#VALUE!</v>
      </c>
      <c r="AD11" s="310" t="e">
        <f>AC11/E11</f>
        <v>#VALUE!</v>
      </c>
      <c r="AH11" s="29" t="str">
        <f t="shared" si="6"/>
        <v>CattleMedium (500 kg - 700 kg)</v>
      </c>
      <c r="AI11" s="29" t="str">
        <f>'Conservation grazing tool'!C33</f>
        <v>Cattle</v>
      </c>
      <c r="AJ11" s="29" t="str">
        <f>IF(ISTEXT('Conservation grazing tool'!D33)=TRUE,'Conservation grazing tool'!D33,"")</f>
        <v>Medium (500 kg - 700 kg)</v>
      </c>
      <c r="AK11" s="29" t="e">
        <f>INDEX('Conservation grazing tool'!$C$20:$C$22,MATCH(MAX('Conservation grazing tool'!$D$20:$D$22),'Conservation grazing tool'!$D$20:$D$22,0))</f>
        <v>#N/A</v>
      </c>
      <c r="AL11" s="88">
        <f>IF(ISNUMBER('Conservation grazing tool'!$D$20)=TRUE,'Conservation grazing tool'!$D$20,0)+IF(ISNUMBER('Conservation grazing tool'!$D$21)=TRUE,'Conservation grazing tool'!$D$21,0)+IF(ISNUMBER('Conservation grazing tool'!$D$22)=TRUE,'Conservation grazing tool'!$D$22,0)</f>
        <v>0</v>
      </c>
      <c r="AM11" s="88">
        <f>IF(ISNUMBER('Conservation grazing tool'!G33)=TRUE,'Conservation grazing tool'!G33,0)</f>
        <v>0</v>
      </c>
      <c r="AN11" s="88">
        <f>IF(ISNUMBER('Conservation grazing tool'!H33)=TRUE,'Conservation grazing tool'!H33*365/100,0)</f>
        <v>0</v>
      </c>
      <c r="AO11" s="88">
        <f>INDEX('Livestock assumptions'!$F$8:$F$17,MATCH('N calculations'!AH11,'Livestock assumptions'!$B$8:$B$17,0))</f>
        <v>200</v>
      </c>
      <c r="AP11" s="88">
        <f>INDEX('Livestock factors - IPCC'!$O$9:$O$39,MATCH(AH11,'Livestock factors - IPCC'!$B$9:$B$39,0))</f>
        <v>0.42</v>
      </c>
      <c r="AQ11" s="88">
        <f t="shared" si="7"/>
        <v>0</v>
      </c>
      <c r="AR11" s="88">
        <f>'GHG Factors'!$D$8</f>
        <v>1</v>
      </c>
      <c r="AS11" s="88">
        <f>IF(AI11="Sheep",'GHG Factors'!$D$19,IF(AI11="Equine",'GHG Factors'!$D$19,'GHG Factors'!$D$18))</f>
        <v>4.0000000000000001E-3</v>
      </c>
      <c r="AT11" s="88">
        <f t="shared" si="8"/>
        <v>0</v>
      </c>
      <c r="AU11" s="88">
        <f>AM11*AQ11*'GHG Factors'!$D$22*'GHG Factors'!$D$20</f>
        <v>0</v>
      </c>
      <c r="AV11" s="88">
        <f>AM11*AQ11*'GHG Factors'!$D$8*'GHG Factors'!$D$23*'GHG Factors'!$D$21</f>
        <v>0</v>
      </c>
      <c r="AW11" s="88">
        <f t="shared" si="9"/>
        <v>0</v>
      </c>
      <c r="AX11" s="88" t="str">
        <f>INDEX('Enteric methane'!$BG$9:$BG$11,MATCH('N calculations'!AH11,'Enteric methane'!$AF$9:$AF$11,0))</f>
        <v xml:space="preserve"> </v>
      </c>
      <c r="AY11" s="88" t="e">
        <f>INDEX('Habitat assumptions'!$G$7:$G$14,MATCH('N calculations'!AK11,'Habitat assumptions'!$B$7:$B$14,0))</f>
        <v>#N/A</v>
      </c>
      <c r="AZ11" s="118" t="e">
        <f>(AX11/'GHG Factors'!$D$16)*(AY11/100/'GHG Factors'!$D$17)</f>
        <v>#VALUE!</v>
      </c>
      <c r="BA11" s="118">
        <f>IF(AI11="Sheep",INDEX('Enteric methane'!$AY$9:$AY$11,MATCH(AH11,'Enteric methane'!$AF$9:$AF$11,0)),INDEX('Enteric methane'!$AV$9:$AV$11,MATCH(AH11,'Enteric methane'!$AF$9:$AF$11,0)))</f>
        <v>1.1000000000000001</v>
      </c>
      <c r="BB11" s="124">
        <f>IF(AI11="Sheep",INDEX('Enteric methane'!$BC$9:$BC$11,MATCH(AH11,'Enteric methane'!$AF$9:$AF$11,0)),INDEX('Enteric methane'!$AZ$9:$AZ$11,MATCH(AH11,'Enteric methane'!$AF$9:$AF$11,0)))</f>
        <v>12.296176367686259</v>
      </c>
      <c r="BC11" s="119">
        <f>INDEX('Livestock factors - IPCC'!$P$9:$P$39,MATCH(AH11,'Livestock factors - IPCC'!$B$9:$B$39,0))</f>
        <v>0.04</v>
      </c>
      <c r="BD11" s="120" t="e">
        <f t="shared" si="10"/>
        <v>#VALUE!</v>
      </c>
      <c r="BE11" s="120" t="e">
        <f>BD11*AN11</f>
        <v>#VALUE!</v>
      </c>
      <c r="BF11" s="120" t="e">
        <f>IF(AI11="Sheep",(AM11)*BE11*'GHG Factors'!$D$19,IF(AI11="Equine",(AM11)*BE11*'GHG Factors'!$D$19,(AM11)*BE11*'GHG Factors'!$D$18))</f>
        <v>#VALUE!</v>
      </c>
      <c r="BG11" s="120" t="e">
        <f>AM11*BE11*'GHG Factors'!$D$22*'GHG Factors'!$D$20</f>
        <v>#VALUE!</v>
      </c>
      <c r="BH11" s="120" t="e">
        <f>AM11*BE11*'GHG Factors'!$D$23*'GHG Factors'!$D$21</f>
        <v>#VALUE!</v>
      </c>
      <c r="BI11" s="120" t="e">
        <f t="shared" si="11"/>
        <v>#VALUE!</v>
      </c>
      <c r="BJ11" s="122" t="e">
        <f t="shared" si="12"/>
        <v>#VALUE!</v>
      </c>
      <c r="BK11" s="120" t="e">
        <f>BJ11*'GHG Factors'!$D$24</f>
        <v>#VALUE!</v>
      </c>
      <c r="BL11" s="123" t="e">
        <f>BK11*'GHG Factors'!$D$25</f>
        <v>#VALUE!</v>
      </c>
      <c r="BM11" s="116" t="e">
        <f>BL11/AL11</f>
        <v>#VALUE!</v>
      </c>
    </row>
    <row r="12" spans="1:65" x14ac:dyDescent="0.25">
      <c r="H12" s="88"/>
      <c r="I12" s="88"/>
      <c r="J12" s="88"/>
      <c r="K12" s="88"/>
      <c r="L12" s="88"/>
      <c r="M12" s="88"/>
      <c r="N12" s="88"/>
      <c r="O12" s="88"/>
      <c r="P12" s="88"/>
      <c r="Y12" s="125"/>
      <c r="Z12" s="125"/>
      <c r="BH12" s="125"/>
      <c r="BI12" s="125"/>
    </row>
    <row r="13" spans="1:65" x14ac:dyDescent="0.25">
      <c r="Q13" s="116"/>
      <c r="R13" s="88"/>
    </row>
    <row r="17" spans="3:38" x14ac:dyDescent="0.25">
      <c r="C17" s="126"/>
      <c r="D17" s="126"/>
      <c r="E17" s="126"/>
      <c r="R17" s="306"/>
      <c r="V17" s="307"/>
      <c r="AJ17" s="126"/>
      <c r="AK17" s="126"/>
      <c r="AL17" s="126"/>
    </row>
  </sheetData>
  <sheetProtection algorithmName="SHA-512" hashValue="HIFm0nBOXJLQtiapNf7/BSR7MCS6xpdfflgh5VmoIJgaEentrEilAsiyVBEx2yeH0GTP9fJzw4Bn/Q4OvQOsrA==" saltValue="f/Poq6bKOCBqRChHlfTrLw==" spinCount="100000" sheet="1" objects="1" scenarios="1"/>
  <mergeCells count="10">
    <mergeCell ref="I1:J1"/>
    <mergeCell ref="K1:M1"/>
    <mergeCell ref="BD1:BE1"/>
    <mergeCell ref="AP1:AQ1"/>
    <mergeCell ref="AR1:AT1"/>
    <mergeCell ref="BJ1:BM1"/>
    <mergeCell ref="AA1:AD1"/>
    <mergeCell ref="Q1:S1"/>
    <mergeCell ref="AX1:AZ1"/>
    <mergeCell ref="U1:V1"/>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72065-F61C-4756-9FEC-875DA5B193BB}">
  <sheetPr>
    <tabColor theme="9"/>
  </sheetPr>
  <dimension ref="A4:K11"/>
  <sheetViews>
    <sheetView workbookViewId="0"/>
  </sheetViews>
  <sheetFormatPr defaultColWidth="9.140625" defaultRowHeight="15" x14ac:dyDescent="0.25"/>
  <cols>
    <col min="1" max="1" width="20.42578125" style="29" bestFit="1" customWidth="1"/>
    <col min="2" max="2" width="12.140625" style="88" bestFit="1" customWidth="1"/>
    <col min="3" max="3" width="11.140625" style="88" customWidth="1"/>
    <col min="4" max="4" width="13.85546875" style="88" customWidth="1"/>
    <col min="5" max="5" width="14.85546875" style="29" customWidth="1"/>
    <col min="6" max="6" width="17.42578125" style="88" customWidth="1"/>
    <col min="7" max="7" width="12" style="88" customWidth="1"/>
    <col min="8" max="8" width="14.42578125" style="88" bestFit="1" customWidth="1"/>
    <col min="9" max="9" width="14.42578125" style="88" customWidth="1"/>
    <col min="10" max="10" width="14.42578125" style="88" bestFit="1" customWidth="1"/>
    <col min="11" max="11" width="16.42578125" style="29" customWidth="1"/>
    <col min="12" max="16384" width="9.140625" style="29"/>
  </cols>
  <sheetData>
    <row r="4" spans="1:11" x14ac:dyDescent="0.25">
      <c r="B4" s="82" t="s">
        <v>23</v>
      </c>
      <c r="C4" s="83" t="s">
        <v>121</v>
      </c>
      <c r="D4" s="84" t="s">
        <v>22</v>
      </c>
      <c r="E4" s="83" t="s">
        <v>121</v>
      </c>
      <c r="F4" s="84" t="s">
        <v>22</v>
      </c>
      <c r="G4" s="84" t="s">
        <v>22</v>
      </c>
      <c r="H4" s="83" t="s">
        <v>121</v>
      </c>
      <c r="I4" s="83" t="s">
        <v>121</v>
      </c>
      <c r="J4" s="84" t="s">
        <v>22</v>
      </c>
      <c r="K4" s="84" t="s">
        <v>22</v>
      </c>
    </row>
    <row r="6" spans="1:11" s="87" customFormat="1" ht="45" x14ac:dyDescent="0.25">
      <c r="A6" s="85" t="s">
        <v>6</v>
      </c>
      <c r="B6" s="85" t="s">
        <v>153</v>
      </c>
      <c r="C6" s="86" t="s">
        <v>290</v>
      </c>
      <c r="D6" s="86" t="s">
        <v>304</v>
      </c>
      <c r="E6" s="86" t="s">
        <v>307</v>
      </c>
      <c r="F6" s="86" t="s">
        <v>308</v>
      </c>
      <c r="G6" s="86" t="s">
        <v>309</v>
      </c>
      <c r="H6" s="86" t="s">
        <v>355</v>
      </c>
      <c r="I6" s="86" t="s">
        <v>356</v>
      </c>
      <c r="J6" s="86" t="s">
        <v>357</v>
      </c>
      <c r="K6" s="86" t="s">
        <v>358</v>
      </c>
    </row>
    <row r="7" spans="1:11" ht="18.75" x14ac:dyDescent="0.35">
      <c r="A7" s="88" t="s">
        <v>79</v>
      </c>
      <c r="B7" s="88" t="s">
        <v>154</v>
      </c>
      <c r="C7" s="88" t="s">
        <v>306</v>
      </c>
      <c r="D7" s="88" t="s">
        <v>305</v>
      </c>
      <c r="E7" s="88" t="s">
        <v>306</v>
      </c>
      <c r="F7" s="88" t="s">
        <v>305</v>
      </c>
      <c r="G7" s="88" t="s">
        <v>305</v>
      </c>
      <c r="H7" s="88" t="s">
        <v>310</v>
      </c>
      <c r="I7" s="88" t="s">
        <v>310</v>
      </c>
      <c r="J7" s="88" t="s">
        <v>311</v>
      </c>
      <c r="K7" s="88" t="s">
        <v>311</v>
      </c>
    </row>
    <row r="8" spans="1:11" x14ac:dyDescent="0.25">
      <c r="A8" s="89" t="str">
        <f>IF('Conservation grazing tool'!C20="Please select","No input data",'Conservation grazing tool'!C20)</f>
        <v>Calcareous Grassland</v>
      </c>
      <c r="B8" s="90">
        <f>IF(A8="No input data","No input data",'Conservation grazing tool'!D20)</f>
        <v>0</v>
      </c>
      <c r="C8" s="90">
        <f>INDEX('Habitat assumptions'!N:N,MATCH('Habitat carbon storage calcs'!A8,'Habitat assumptions'!B:B,0))</f>
        <v>69</v>
      </c>
      <c r="D8" s="90">
        <f>IFERROR(IF(C8="No data","No data",B8*C8),0)</f>
        <v>0</v>
      </c>
      <c r="E8" s="29" t="str">
        <f>INDEX('Habitat assumptions'!M:M,MATCH('Habitat carbon storage calcs'!A8,'Habitat assumptions'!B:B,0))</f>
        <v>No data</v>
      </c>
      <c r="F8" s="90" t="str">
        <f>IFERROR(IF(E8="No data","No data",B8*E8),0)</f>
        <v>No data</v>
      </c>
      <c r="G8" s="90">
        <f>IF(D8="No data",0,D8)+IF(F8="No data",0,F8)</f>
        <v>0</v>
      </c>
      <c r="H8" s="88">
        <f>INDEX('Habitat assumptions'!P:P,MATCH('Habitat carbon storage calcs'!A8,'Habitat assumptions'!B:B,0))</f>
        <v>0.04</v>
      </c>
      <c r="I8" s="88">
        <f>INDEX('Habitat assumptions'!Q:Q,MATCH('Habitat carbon storage calcs'!A8,'Habitat assumptions'!B:B,0))</f>
        <v>0</v>
      </c>
      <c r="J8" s="88">
        <f>IFERROR(IF(H8="No data","No data",$B$8*H8),0)</f>
        <v>0</v>
      </c>
      <c r="K8" s="88">
        <f>IFERROR(IF(I8="No data","No data",$B$8*I8),0)</f>
        <v>0</v>
      </c>
    </row>
    <row r="9" spans="1:11" x14ac:dyDescent="0.25">
      <c r="A9" s="89" t="str">
        <f>IF('Conservation grazing tool'!C21="Please select","No input data",'Conservation grazing tool'!C21)</f>
        <v>No input data</v>
      </c>
      <c r="B9" s="90" t="str">
        <f>IF(A9="No input data","No input data",'Conservation grazing tool'!D21)</f>
        <v>No input data</v>
      </c>
      <c r="C9" s="90" t="e">
        <f>INDEX('Habitat assumptions'!N:N,MATCH('Habitat carbon storage calcs'!A9,'Habitat assumptions'!B:B,0))</f>
        <v>#N/A</v>
      </c>
      <c r="D9" s="90">
        <f t="shared" ref="D9:D10" si="0">IFERROR(IF(C9="No data","No data",B9*C9),0)</f>
        <v>0</v>
      </c>
      <c r="E9" s="29" t="e">
        <f>INDEX('Habitat assumptions'!M:M,MATCH('Habitat carbon storage calcs'!A9,'Habitat assumptions'!B:B,0))</f>
        <v>#N/A</v>
      </c>
      <c r="F9" s="90">
        <f t="shared" ref="F9:F10" si="1">IFERROR(IF(E9="No data","No data",B9*E9),0)</f>
        <v>0</v>
      </c>
      <c r="G9" s="90">
        <f t="shared" ref="G9:G10" si="2">IF(D9="No data",0,D9)+IF(F9="No data",0,F9)</f>
        <v>0</v>
      </c>
      <c r="H9" s="88" t="e">
        <f>INDEX('Habitat assumptions'!P:P,MATCH('Habitat carbon storage calcs'!A9,'Habitat assumptions'!B:B,0))</f>
        <v>#N/A</v>
      </c>
      <c r="I9" s="88" t="e">
        <f>INDEX('Habitat assumptions'!Q:Q,MATCH('Habitat carbon storage calcs'!A9,'Habitat assumptions'!B:B,0))</f>
        <v>#N/A</v>
      </c>
      <c r="J9" s="88">
        <f>IFERROR(IF(H9="No data","No data",$B$9*H9),0)</f>
        <v>0</v>
      </c>
      <c r="K9" s="88">
        <f>IFERROR(IF(I9="No data","No data",$B$9*I9),0)</f>
        <v>0</v>
      </c>
    </row>
    <row r="10" spans="1:11" x14ac:dyDescent="0.25">
      <c r="A10" s="89" t="str">
        <f>IF('Conservation grazing tool'!C22="Please select","No input data",'Conservation grazing tool'!C22)</f>
        <v>No input data</v>
      </c>
      <c r="B10" s="90" t="str">
        <f>IF(A10="No input data","No input data",'Conservation grazing tool'!D22)</f>
        <v>No input data</v>
      </c>
      <c r="C10" s="90" t="e">
        <f>INDEX('Habitat assumptions'!N:N,MATCH('Habitat carbon storage calcs'!A10,'Habitat assumptions'!B:B,0))</f>
        <v>#N/A</v>
      </c>
      <c r="D10" s="90">
        <f t="shared" si="0"/>
        <v>0</v>
      </c>
      <c r="E10" s="29" t="e">
        <f>INDEX('Habitat assumptions'!M:M,MATCH('Habitat carbon storage calcs'!A10,'Habitat assumptions'!B:B,0))</f>
        <v>#N/A</v>
      </c>
      <c r="F10" s="90">
        <f t="shared" si="1"/>
        <v>0</v>
      </c>
      <c r="G10" s="90">
        <f t="shared" si="2"/>
        <v>0</v>
      </c>
      <c r="H10" s="88" t="e">
        <f>INDEX('Habitat assumptions'!P:P,MATCH('Habitat carbon storage calcs'!A10,'Habitat assumptions'!B:B,0))</f>
        <v>#N/A</v>
      </c>
      <c r="I10" s="88" t="e">
        <f>INDEX('Habitat assumptions'!Q:Q,MATCH('Habitat carbon storage calcs'!A10,'Habitat assumptions'!B:B,0))</f>
        <v>#N/A</v>
      </c>
      <c r="J10" s="88">
        <f>IFERROR(IF(H10="No data","No data",$B$10*H10),0)</f>
        <v>0</v>
      </c>
      <c r="K10" s="88">
        <f>IFERROR(IF(I10="No data","No data",$B$10*I10),0)</f>
        <v>0</v>
      </c>
    </row>
    <row r="11" spans="1:11" s="91" customFormat="1" x14ac:dyDescent="0.25">
      <c r="A11" s="91" t="s">
        <v>273</v>
      </c>
      <c r="B11" s="92">
        <f>SUM(B8:B10)</f>
        <v>0</v>
      </c>
      <c r="C11" s="92"/>
      <c r="D11" s="92">
        <f>SUM(D8:D10)</f>
        <v>0</v>
      </c>
      <c r="F11" s="92">
        <f>SUM(F8:F10)</f>
        <v>0</v>
      </c>
      <c r="G11" s="92">
        <f t="shared" ref="G11" si="3">D11+F11</f>
        <v>0</v>
      </c>
      <c r="H11" s="93"/>
      <c r="I11" s="93"/>
      <c r="J11" s="93">
        <f>SUM(J8:J10)</f>
        <v>0</v>
      </c>
      <c r="K11" s="93">
        <f t="shared" ref="K11" si="4">SUM(K8:K10)</f>
        <v>0</v>
      </c>
    </row>
  </sheetData>
  <sheetProtection algorithmName="SHA-512" hashValue="xbIH4J7fx4SvOnMGz6FYr55lWuriYRjqYNNdPqeQBimIpVIMJnK+M+w4OD3c/OyLAK0enGWGNC0U02v14ZUsLA==" saltValue="nmWPG7JBuL1lyZO0gmLOSA=="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0E0E6-CBE2-46C6-B9CA-D8043139D12E}">
  <sheetPr>
    <tabColor theme="4"/>
  </sheetPr>
  <dimension ref="B1:G28"/>
  <sheetViews>
    <sheetView workbookViewId="0">
      <selection activeCell="J12" sqref="J12"/>
    </sheetView>
  </sheetViews>
  <sheetFormatPr defaultColWidth="9.140625" defaultRowHeight="15" x14ac:dyDescent="0.25"/>
  <cols>
    <col min="1" max="1" width="9.140625" style="29"/>
    <col min="2" max="2" width="30.85546875" style="29" customWidth="1"/>
    <col min="3" max="3" width="110.5703125" style="29" bestFit="1" customWidth="1"/>
    <col min="4" max="4" width="8.85546875" style="176"/>
    <col min="5" max="5" width="8.85546875" style="115"/>
    <col min="6" max="6" width="24.5703125" style="29" customWidth="1"/>
    <col min="7" max="16384" width="9.140625" style="29"/>
  </cols>
  <sheetData>
    <row r="1" spans="2:7" x14ac:dyDescent="0.25">
      <c r="B1" s="134" t="s">
        <v>352</v>
      </c>
    </row>
    <row r="4" spans="2:7" ht="15.75" thickBot="1" x14ac:dyDescent="0.3"/>
    <row r="5" spans="2:7" ht="15.75" thickBot="1" x14ac:dyDescent="0.3">
      <c r="C5" s="177" t="s">
        <v>97</v>
      </c>
      <c r="D5" s="178" t="s">
        <v>64</v>
      </c>
      <c r="E5" s="179" t="s">
        <v>29</v>
      </c>
      <c r="F5" s="180" t="s">
        <v>30</v>
      </c>
    </row>
    <row r="6" spans="2:7" ht="15.75" thickBot="1" x14ac:dyDescent="0.3">
      <c r="C6" s="181" t="s">
        <v>31</v>
      </c>
      <c r="D6" s="182">
        <v>365</v>
      </c>
      <c r="E6" s="183" t="s">
        <v>32</v>
      </c>
      <c r="F6" s="184"/>
      <c r="G6" s="29" t="s">
        <v>300</v>
      </c>
    </row>
    <row r="7" spans="2:7" ht="15.75" thickBot="1" x14ac:dyDescent="0.3">
      <c r="C7" s="27" t="s">
        <v>347</v>
      </c>
      <c r="D7" s="185">
        <v>22.02</v>
      </c>
      <c r="E7" s="115" t="s">
        <v>34</v>
      </c>
      <c r="F7" s="186" t="s">
        <v>99</v>
      </c>
      <c r="G7" s="29" t="s">
        <v>300</v>
      </c>
    </row>
    <row r="8" spans="2:7" ht="14.85" customHeight="1" x14ac:dyDescent="0.25">
      <c r="B8" s="517" t="s">
        <v>180</v>
      </c>
      <c r="C8" s="187" t="s">
        <v>162</v>
      </c>
      <c r="D8" s="188">
        <v>1</v>
      </c>
      <c r="E8" s="189"/>
      <c r="F8" s="190" t="s">
        <v>250</v>
      </c>
      <c r="G8" s="29" t="s">
        <v>300</v>
      </c>
    </row>
    <row r="9" spans="2:7" ht="18.75" x14ac:dyDescent="0.35">
      <c r="B9" s="518"/>
      <c r="C9" s="27" t="s">
        <v>349</v>
      </c>
      <c r="D9" s="185">
        <v>0.6</v>
      </c>
      <c r="E9" s="115" t="s">
        <v>217</v>
      </c>
      <c r="F9" s="186" t="s">
        <v>435</v>
      </c>
      <c r="G9" s="29" t="s">
        <v>300</v>
      </c>
    </row>
    <row r="10" spans="2:7" ht="15.75" thickBot="1" x14ac:dyDescent="0.3">
      <c r="B10" s="519"/>
      <c r="C10" s="191" t="s">
        <v>350</v>
      </c>
      <c r="D10" s="192">
        <v>0.47</v>
      </c>
      <c r="E10" s="193" t="s">
        <v>54</v>
      </c>
      <c r="F10" s="194" t="s">
        <v>179</v>
      </c>
      <c r="G10" s="29" t="s">
        <v>300</v>
      </c>
    </row>
    <row r="11" spans="2:7" ht="18" x14ac:dyDescent="0.35">
      <c r="C11" s="27" t="s">
        <v>28</v>
      </c>
      <c r="D11" s="188">
        <v>55.65</v>
      </c>
      <c r="E11" s="189" t="s">
        <v>72</v>
      </c>
      <c r="F11" s="190" t="s">
        <v>87</v>
      </c>
      <c r="G11" s="29" t="s">
        <v>300</v>
      </c>
    </row>
    <row r="12" spans="2:7" ht="18" x14ac:dyDescent="0.35">
      <c r="C12" s="27" t="s">
        <v>344</v>
      </c>
      <c r="D12" s="185">
        <v>27</v>
      </c>
      <c r="F12" s="186" t="s">
        <v>71</v>
      </c>
      <c r="G12" s="29" t="s">
        <v>300</v>
      </c>
    </row>
    <row r="13" spans="2:7" ht="19.5" thickBot="1" x14ac:dyDescent="0.4">
      <c r="C13" s="191" t="s">
        <v>345</v>
      </c>
      <c r="D13" s="192">
        <v>0.67</v>
      </c>
      <c r="E13" s="193"/>
      <c r="F13" s="194" t="s">
        <v>161</v>
      </c>
      <c r="G13" s="29" t="s">
        <v>300</v>
      </c>
    </row>
    <row r="14" spans="2:7" x14ac:dyDescent="0.25">
      <c r="B14" s="517" t="s">
        <v>176</v>
      </c>
      <c r="C14" s="187" t="s">
        <v>174</v>
      </c>
      <c r="D14" s="188">
        <v>0.04</v>
      </c>
      <c r="E14" s="189"/>
      <c r="F14" s="190" t="s">
        <v>177</v>
      </c>
      <c r="G14" s="29" t="s">
        <v>300</v>
      </c>
    </row>
    <row r="15" spans="2:7" ht="15.75" thickBot="1" x14ac:dyDescent="0.3">
      <c r="B15" s="519"/>
      <c r="C15" s="27" t="s">
        <v>175</v>
      </c>
      <c r="D15" s="185">
        <v>0.06</v>
      </c>
      <c r="F15" s="186" t="s">
        <v>177</v>
      </c>
      <c r="G15" s="29" t="s">
        <v>300</v>
      </c>
    </row>
    <row r="16" spans="2:7" ht="18" thickBot="1" x14ac:dyDescent="0.3">
      <c r="C16" s="187" t="s">
        <v>77</v>
      </c>
      <c r="D16" s="188">
        <v>18.45</v>
      </c>
      <c r="E16" s="189" t="s">
        <v>44</v>
      </c>
      <c r="F16" s="190" t="s">
        <v>186</v>
      </c>
      <c r="G16" s="29" t="s">
        <v>300</v>
      </c>
    </row>
    <row r="17" spans="2:7" ht="18" thickBot="1" x14ac:dyDescent="0.3">
      <c r="B17" s="195" t="s">
        <v>348</v>
      </c>
      <c r="C17" s="181" t="s">
        <v>78</v>
      </c>
      <c r="D17" s="182">
        <v>6.25</v>
      </c>
      <c r="E17" s="183" t="s">
        <v>183</v>
      </c>
      <c r="F17" s="184" t="s">
        <v>186</v>
      </c>
      <c r="G17" s="29" t="s">
        <v>300</v>
      </c>
    </row>
    <row r="18" spans="2:7" ht="18" x14ac:dyDescent="0.35">
      <c r="B18" s="517" t="s">
        <v>339</v>
      </c>
      <c r="C18" s="187" t="s">
        <v>340</v>
      </c>
      <c r="D18" s="188">
        <v>4.0000000000000001E-3</v>
      </c>
      <c r="E18" s="189" t="s">
        <v>67</v>
      </c>
      <c r="F18" s="190" t="s">
        <v>70</v>
      </c>
      <c r="G18" s="29" t="s">
        <v>300</v>
      </c>
    </row>
    <row r="19" spans="2:7" ht="18" x14ac:dyDescent="0.35">
      <c r="B19" s="518"/>
      <c r="C19" s="27" t="s">
        <v>341</v>
      </c>
      <c r="D19" s="185">
        <v>3.0000000000000001E-3</v>
      </c>
      <c r="E19" s="115" t="s">
        <v>67</v>
      </c>
      <c r="F19" s="186" t="s">
        <v>70</v>
      </c>
      <c r="G19" s="29" t="s">
        <v>300</v>
      </c>
    </row>
    <row r="20" spans="2:7" ht="18" x14ac:dyDescent="0.35">
      <c r="B20" s="518"/>
      <c r="C20" s="27" t="s">
        <v>63</v>
      </c>
      <c r="D20" s="185">
        <v>0.01</v>
      </c>
      <c r="E20" s="115" t="s">
        <v>67</v>
      </c>
      <c r="F20" s="186" t="s">
        <v>65</v>
      </c>
      <c r="G20" s="29" t="s">
        <v>346</v>
      </c>
    </row>
    <row r="21" spans="2:7" ht="18" x14ac:dyDescent="0.35">
      <c r="B21" s="518"/>
      <c r="C21" s="27" t="s">
        <v>66</v>
      </c>
      <c r="D21" s="185">
        <v>1.0999999999999999E-2</v>
      </c>
      <c r="E21" s="115" t="s">
        <v>67</v>
      </c>
      <c r="F21" s="186" t="s">
        <v>65</v>
      </c>
      <c r="G21" s="29" t="s">
        <v>300</v>
      </c>
    </row>
    <row r="22" spans="2:7" ht="18" x14ac:dyDescent="0.35">
      <c r="B22" s="518"/>
      <c r="C22" s="27" t="s">
        <v>68</v>
      </c>
      <c r="D22" s="185">
        <v>0.21</v>
      </c>
      <c r="E22" s="115" t="s">
        <v>67</v>
      </c>
      <c r="F22" s="186" t="s">
        <v>65</v>
      </c>
      <c r="G22" s="29" t="s">
        <v>300</v>
      </c>
    </row>
    <row r="23" spans="2:7" ht="18.75" thickBot="1" x14ac:dyDescent="0.4">
      <c r="B23" s="519"/>
      <c r="C23" s="191" t="s">
        <v>69</v>
      </c>
      <c r="D23" s="192">
        <v>0.24</v>
      </c>
      <c r="E23" s="193" t="s">
        <v>67</v>
      </c>
      <c r="F23" s="194" t="s">
        <v>65</v>
      </c>
      <c r="G23" s="29" t="s">
        <v>300</v>
      </c>
    </row>
    <row r="24" spans="2:7" ht="18" x14ac:dyDescent="0.35">
      <c r="C24" s="187" t="s">
        <v>342</v>
      </c>
      <c r="D24" s="188">
        <f>44/28</f>
        <v>1.5714285714285714</v>
      </c>
      <c r="E24" s="189"/>
      <c r="F24" s="190"/>
      <c r="G24" s="29" t="s">
        <v>300</v>
      </c>
    </row>
    <row r="25" spans="2:7" ht="18.75" thickBot="1" x14ac:dyDescent="0.4">
      <c r="C25" s="191" t="s">
        <v>343</v>
      </c>
      <c r="D25" s="192">
        <v>273</v>
      </c>
      <c r="E25" s="193"/>
      <c r="F25" s="194" t="s">
        <v>71</v>
      </c>
      <c r="G25" s="29" t="s">
        <v>300</v>
      </c>
    </row>
    <row r="26" spans="2:7" x14ac:dyDescent="0.25">
      <c r="G26" s="29" t="s">
        <v>300</v>
      </c>
    </row>
    <row r="27" spans="2:7" x14ac:dyDescent="0.25">
      <c r="G27" s="29" t="s">
        <v>300</v>
      </c>
    </row>
    <row r="28" spans="2:7" x14ac:dyDescent="0.25">
      <c r="G28" s="29" t="s">
        <v>300</v>
      </c>
    </row>
  </sheetData>
  <sheetProtection algorithmName="SHA-512" hashValue="SPFOQW/+UU8RmJpDCFfftSmpNm6PV+34LXcCc9x+8xf9yWyPF1d3i+hwFMWwl58RlOMj2e565IeVq/iTxZ/w0g==" saltValue="dJKMoNEZSQ/lMY9Ht4z6nw==" spinCount="100000" sheet="1" objects="1" scenarios="1"/>
  <mergeCells count="3">
    <mergeCell ref="B18:B23"/>
    <mergeCell ref="B14:B15"/>
    <mergeCell ref="B8:B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330A2-D0EC-4127-87FC-3C776CFA71DC}">
  <sheetPr codeName="Sheet9">
    <tabColor theme="4"/>
  </sheetPr>
  <dimension ref="B1:N24"/>
  <sheetViews>
    <sheetView workbookViewId="0">
      <selection activeCell="K21" sqref="K21"/>
    </sheetView>
  </sheetViews>
  <sheetFormatPr defaultColWidth="9.140625" defaultRowHeight="15" x14ac:dyDescent="0.25"/>
  <cols>
    <col min="1" max="1" width="9.140625" style="29"/>
    <col min="2" max="2" width="28.85546875" style="29" bestFit="1" customWidth="1"/>
    <col min="3" max="3" width="9.140625" style="29"/>
    <col min="4" max="4" width="37.5703125" style="29" customWidth="1"/>
    <col min="5" max="5" width="9.140625" style="88"/>
    <col min="6" max="6" width="9.5703125" style="88" customWidth="1"/>
    <col min="7" max="7" width="11.42578125" style="88" customWidth="1"/>
    <col min="8" max="8" width="15.5703125" style="88" customWidth="1"/>
    <col min="9" max="9" width="16.85546875" style="88" customWidth="1"/>
    <col min="10" max="10" width="13.42578125" style="88" bestFit="1" customWidth="1"/>
    <col min="11" max="11" width="16.140625" style="88" customWidth="1"/>
    <col min="12" max="12" width="24.140625" style="88" customWidth="1"/>
    <col min="13" max="13" width="25" style="88" customWidth="1"/>
    <col min="14" max="14" width="26.140625" style="88" customWidth="1"/>
    <col min="15" max="16384" width="9.140625" style="29"/>
  </cols>
  <sheetData>
    <row r="1" spans="2:14" x14ac:dyDescent="0.25">
      <c r="B1" s="134" t="s">
        <v>354</v>
      </c>
    </row>
    <row r="4" spans="2:14" ht="15.75" thickBot="1" x14ac:dyDescent="0.3"/>
    <row r="5" spans="2:14" s="96" customFormat="1" ht="45" x14ac:dyDescent="0.25">
      <c r="B5" s="135" t="s">
        <v>79</v>
      </c>
      <c r="C5" s="136" t="s">
        <v>10</v>
      </c>
      <c r="D5" s="137" t="s">
        <v>11</v>
      </c>
      <c r="E5" s="138" t="s">
        <v>107</v>
      </c>
      <c r="F5" s="46" t="s">
        <v>108</v>
      </c>
      <c r="G5" s="44" t="s">
        <v>109</v>
      </c>
      <c r="H5" s="44" t="s">
        <v>110</v>
      </c>
      <c r="I5" s="44" t="s">
        <v>111</v>
      </c>
      <c r="J5" s="139" t="s">
        <v>106</v>
      </c>
      <c r="K5" s="44" t="s">
        <v>132</v>
      </c>
      <c r="L5" s="138" t="s">
        <v>240</v>
      </c>
      <c r="M5" s="44" t="s">
        <v>336</v>
      </c>
      <c r="N5" s="46" t="s">
        <v>338</v>
      </c>
    </row>
    <row r="6" spans="2:14" x14ac:dyDescent="0.25">
      <c r="B6" s="140"/>
      <c r="C6" s="141"/>
      <c r="D6" s="142" t="s">
        <v>29</v>
      </c>
      <c r="E6" s="143" t="s">
        <v>21</v>
      </c>
      <c r="F6" s="144" t="s">
        <v>21</v>
      </c>
      <c r="G6" s="145" t="s">
        <v>21</v>
      </c>
      <c r="H6" s="145" t="s">
        <v>21</v>
      </c>
      <c r="I6" s="145" t="s">
        <v>21</v>
      </c>
      <c r="J6" s="146"/>
      <c r="K6" s="145" t="s">
        <v>133</v>
      </c>
      <c r="L6" s="147" t="s">
        <v>54</v>
      </c>
      <c r="M6" s="148" t="s">
        <v>337</v>
      </c>
      <c r="N6" s="149" t="s">
        <v>337</v>
      </c>
    </row>
    <row r="7" spans="2:14" ht="15.75" thickBot="1" x14ac:dyDescent="0.3">
      <c r="B7" s="150"/>
      <c r="C7" s="151"/>
      <c r="D7" s="152" t="s">
        <v>30</v>
      </c>
      <c r="E7" s="153" t="s">
        <v>116</v>
      </c>
      <c r="F7" s="154" t="s">
        <v>120</v>
      </c>
      <c r="G7" s="155" t="s">
        <v>335</v>
      </c>
      <c r="H7" s="155" t="s">
        <v>334</v>
      </c>
      <c r="I7" s="155" t="s">
        <v>334</v>
      </c>
      <c r="J7" s="156"/>
      <c r="K7" s="155" t="s">
        <v>120</v>
      </c>
      <c r="L7" s="157"/>
      <c r="M7" s="158"/>
      <c r="N7" s="159"/>
    </row>
    <row r="8" spans="2:14" x14ac:dyDescent="0.25">
      <c r="B8" s="207" t="str">
        <f t="shared" ref="B8:B17" si="0">C8&amp;D8</f>
        <v>CattleSmall (&lt;500 kg)</v>
      </c>
      <c r="C8" s="208" t="s">
        <v>16</v>
      </c>
      <c r="D8" s="278" t="s">
        <v>397</v>
      </c>
      <c r="E8" s="312">
        <v>400</v>
      </c>
      <c r="F8" s="163">
        <f t="shared" ref="F8:F17" si="1">E8/100*40</f>
        <v>160</v>
      </c>
      <c r="G8" s="164">
        <v>1.1000000000000001</v>
      </c>
      <c r="H8" s="164"/>
      <c r="I8" s="164"/>
      <c r="J8" s="314">
        <v>0.62</v>
      </c>
      <c r="K8" s="164">
        <v>32</v>
      </c>
      <c r="L8" s="165">
        <v>0.02</v>
      </c>
      <c r="M8" s="164">
        <f t="shared" ref="M8:M17" si="2">L8*E8</f>
        <v>8</v>
      </c>
      <c r="N8" s="163">
        <f t="shared" ref="N8:N17" si="3">L8*F8</f>
        <v>3.2</v>
      </c>
    </row>
    <row r="9" spans="2:14" x14ac:dyDescent="0.25">
      <c r="B9" s="160" t="str">
        <f t="shared" si="0"/>
        <v>CattleMedium (500 kg - 700 kg)</v>
      </c>
      <c r="C9" s="209" t="s">
        <v>16</v>
      </c>
      <c r="D9" s="29" t="s">
        <v>398</v>
      </c>
      <c r="E9" s="162">
        <v>500</v>
      </c>
      <c r="F9" s="166">
        <f t="shared" si="1"/>
        <v>200</v>
      </c>
      <c r="G9" s="88">
        <v>1.1000000000000001</v>
      </c>
      <c r="J9" s="119">
        <v>0.76923076923076927</v>
      </c>
      <c r="K9" s="88">
        <v>32</v>
      </c>
      <c r="L9" s="167">
        <v>0.02</v>
      </c>
      <c r="M9" s="88">
        <f t="shared" si="2"/>
        <v>10</v>
      </c>
      <c r="N9" s="166">
        <f t="shared" si="3"/>
        <v>4</v>
      </c>
    </row>
    <row r="10" spans="2:14" x14ac:dyDescent="0.25">
      <c r="B10" s="160" t="str">
        <f t="shared" si="0"/>
        <v>CattleLarge (&gt;700 kg)</v>
      </c>
      <c r="C10" s="209" t="s">
        <v>16</v>
      </c>
      <c r="D10" s="29" t="s">
        <v>399</v>
      </c>
      <c r="E10" s="162">
        <v>700</v>
      </c>
      <c r="F10" s="166">
        <f t="shared" si="1"/>
        <v>280</v>
      </c>
      <c r="G10" s="88">
        <v>1.1000000000000001</v>
      </c>
      <c r="J10" s="119">
        <v>1.0769230769230769</v>
      </c>
      <c r="K10" s="88">
        <v>32</v>
      </c>
      <c r="L10" s="167">
        <v>0.02</v>
      </c>
      <c r="M10" s="88">
        <f t="shared" si="2"/>
        <v>14</v>
      </c>
      <c r="N10" s="166">
        <f t="shared" si="3"/>
        <v>5.6000000000000005</v>
      </c>
    </row>
    <row r="11" spans="2:14" x14ac:dyDescent="0.25">
      <c r="B11" s="160" t="str">
        <f t="shared" si="0"/>
        <v>SheepSmall (&lt;50 kg)</v>
      </c>
      <c r="C11" s="209" t="s">
        <v>15</v>
      </c>
      <c r="D11" s="29" t="s">
        <v>400</v>
      </c>
      <c r="E11" s="162">
        <v>50</v>
      </c>
      <c r="F11" s="166">
        <f t="shared" si="1"/>
        <v>20</v>
      </c>
      <c r="H11" s="88">
        <v>29.9</v>
      </c>
      <c r="I11" s="88">
        <v>41.5</v>
      </c>
      <c r="J11" s="119">
        <v>7.6923076923076927E-2</v>
      </c>
      <c r="L11" s="167">
        <v>0.02</v>
      </c>
      <c r="M11" s="88">
        <f t="shared" si="2"/>
        <v>1</v>
      </c>
      <c r="N11" s="166">
        <f t="shared" si="3"/>
        <v>0.4</v>
      </c>
    </row>
    <row r="12" spans="2:14" x14ac:dyDescent="0.25">
      <c r="B12" s="160" t="str">
        <f t="shared" si="0"/>
        <v>SheepMedium (50 kg - 70 kg)</v>
      </c>
      <c r="C12" s="209" t="s">
        <v>15</v>
      </c>
      <c r="D12" s="29" t="s">
        <v>401</v>
      </c>
      <c r="E12" s="162">
        <v>65</v>
      </c>
      <c r="F12" s="166">
        <f t="shared" si="1"/>
        <v>26</v>
      </c>
      <c r="H12" s="88">
        <v>29.9</v>
      </c>
      <c r="I12" s="88">
        <v>41.5</v>
      </c>
      <c r="J12" s="119">
        <v>0.1</v>
      </c>
      <c r="L12" s="167">
        <v>0.02</v>
      </c>
      <c r="M12" s="88">
        <f t="shared" si="2"/>
        <v>1.3</v>
      </c>
      <c r="N12" s="166">
        <f t="shared" si="3"/>
        <v>0.52</v>
      </c>
    </row>
    <row r="13" spans="2:14" x14ac:dyDescent="0.25">
      <c r="B13" s="160" t="str">
        <f t="shared" si="0"/>
        <v>SheepLarge (&gt;70 kg)</v>
      </c>
      <c r="C13" s="209" t="s">
        <v>15</v>
      </c>
      <c r="D13" s="29" t="s">
        <v>402</v>
      </c>
      <c r="E13" s="162">
        <v>95</v>
      </c>
      <c r="F13" s="166">
        <f t="shared" si="1"/>
        <v>38</v>
      </c>
      <c r="H13" s="88">
        <v>29.9</v>
      </c>
      <c r="I13" s="88">
        <v>41.5</v>
      </c>
      <c r="J13" s="119">
        <v>0.14615384615384616</v>
      </c>
      <c r="L13" s="167">
        <v>0.02</v>
      </c>
      <c r="M13" s="88">
        <f t="shared" si="2"/>
        <v>1.9000000000000001</v>
      </c>
      <c r="N13" s="166">
        <f t="shared" si="3"/>
        <v>0.76</v>
      </c>
    </row>
    <row r="14" spans="2:14" x14ac:dyDescent="0.25">
      <c r="B14" s="160" t="str">
        <f t="shared" si="0"/>
        <v>EquineSmall (&lt;300 kg)</v>
      </c>
      <c r="C14" s="209" t="s">
        <v>14</v>
      </c>
      <c r="D14" s="29" t="s">
        <v>403</v>
      </c>
      <c r="E14" s="313">
        <v>230</v>
      </c>
      <c r="F14" s="166">
        <f t="shared" si="1"/>
        <v>92</v>
      </c>
      <c r="J14" s="119">
        <v>0.8</v>
      </c>
      <c r="K14" s="88">
        <f>4*12</f>
        <v>48</v>
      </c>
      <c r="L14" s="167">
        <v>0.02</v>
      </c>
      <c r="M14" s="88">
        <f>L14*E14</f>
        <v>4.6000000000000005</v>
      </c>
      <c r="N14" s="166">
        <f t="shared" si="3"/>
        <v>1.84</v>
      </c>
    </row>
    <row r="15" spans="2:14" x14ac:dyDescent="0.25">
      <c r="B15" s="160" t="str">
        <f t="shared" si="0"/>
        <v>EquineMedium (300 – 600 kg)</v>
      </c>
      <c r="C15" s="209" t="s">
        <v>14</v>
      </c>
      <c r="D15" s="29" t="s">
        <v>405</v>
      </c>
      <c r="E15" s="313">
        <v>400</v>
      </c>
      <c r="F15" s="166">
        <f t="shared" si="1"/>
        <v>160</v>
      </c>
      <c r="J15" s="31">
        <v>1</v>
      </c>
      <c r="K15" s="88">
        <f>4*12</f>
        <v>48</v>
      </c>
      <c r="L15" s="167">
        <v>0.02</v>
      </c>
      <c r="M15" s="88">
        <f t="shared" si="2"/>
        <v>8</v>
      </c>
      <c r="N15" s="166">
        <f t="shared" si="3"/>
        <v>3.2</v>
      </c>
    </row>
    <row r="16" spans="2:14" x14ac:dyDescent="0.25">
      <c r="B16" s="160" t="str">
        <f t="shared" si="0"/>
        <v>BisonEuropean (360 – 990 kg)</v>
      </c>
      <c r="C16" s="209" t="s">
        <v>12</v>
      </c>
      <c r="D16" s="29" t="s">
        <v>407</v>
      </c>
      <c r="E16" s="162">
        <v>675</v>
      </c>
      <c r="F16" s="166">
        <f t="shared" si="1"/>
        <v>270</v>
      </c>
      <c r="J16" s="119">
        <v>1.0384615384615385</v>
      </c>
      <c r="L16" s="167">
        <v>0.02</v>
      </c>
      <c r="M16" s="88">
        <f t="shared" si="2"/>
        <v>13.5</v>
      </c>
      <c r="N16" s="166">
        <f t="shared" si="3"/>
        <v>5.4</v>
      </c>
    </row>
    <row r="17" spans="2:14" ht="15.75" thickBot="1" x14ac:dyDescent="0.3">
      <c r="B17" s="168" t="str">
        <f t="shared" si="0"/>
        <v>Water buffaloStandard (300 – 600 kg)</v>
      </c>
      <c r="C17" s="169" t="s">
        <v>13</v>
      </c>
      <c r="D17" s="210" t="s">
        <v>409</v>
      </c>
      <c r="E17" s="171">
        <v>450</v>
      </c>
      <c r="F17" s="172">
        <f t="shared" si="1"/>
        <v>180</v>
      </c>
      <c r="G17" s="173"/>
      <c r="H17" s="173"/>
      <c r="I17" s="173"/>
      <c r="J17" s="174">
        <v>0.69230769230769229</v>
      </c>
      <c r="K17" s="173"/>
      <c r="L17" s="175">
        <v>0.02</v>
      </c>
      <c r="M17" s="173">
        <f t="shared" si="2"/>
        <v>9</v>
      </c>
      <c r="N17" s="172">
        <f t="shared" si="3"/>
        <v>3.6</v>
      </c>
    </row>
    <row r="24" spans="2:14" x14ac:dyDescent="0.25">
      <c r="B24"/>
    </row>
  </sheetData>
  <sheetProtection algorithmName="SHA-512" hashValue="zoGpCUNpDREgYwD1TiSuniQxzH9r8RlgAgxas2RvoGP1XX5SYRKX6YvIdkevLORmcYmNxjK10mwgmf/MWHoydQ==" saltValue="Byji19wpEXjBorFKyRPTxg==" spinCount="100000" sheet="1" objects="1" scenarios="1"/>
  <autoFilter ref="B7:N7" xr:uid="{CD8330A2-D0EC-4127-87FC-3C776CFA71DC}"/>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CDE60-137C-462E-AAAF-000E1B00614C}">
  <sheetPr>
    <tabColor theme="4"/>
  </sheetPr>
  <dimension ref="B1:Q39"/>
  <sheetViews>
    <sheetView workbookViewId="0">
      <selection activeCell="F5" sqref="F5:N5"/>
    </sheetView>
  </sheetViews>
  <sheetFormatPr defaultColWidth="9.140625" defaultRowHeight="15" x14ac:dyDescent="0.25"/>
  <cols>
    <col min="1" max="1" width="9.140625" style="29"/>
    <col min="2" max="2" width="40.5703125" style="29" bestFit="1" customWidth="1"/>
    <col min="3" max="3" width="8.5703125" style="29" customWidth="1"/>
    <col min="4" max="4" width="35.85546875" style="29" bestFit="1" customWidth="1"/>
    <col min="5" max="5" width="11.85546875" style="29" bestFit="1" customWidth="1"/>
    <col min="6" max="6" width="17.85546875" style="88" customWidth="1"/>
    <col min="7" max="7" width="21.140625" style="88" customWidth="1"/>
    <col min="8" max="8" width="19.85546875" style="88" customWidth="1"/>
    <col min="9" max="10" width="13.42578125" style="88" customWidth="1"/>
    <col min="11" max="11" width="8.85546875" style="88" customWidth="1"/>
    <col min="12" max="13" width="17.85546875" style="29" customWidth="1"/>
    <col min="14" max="14" width="30" style="29" customWidth="1"/>
    <col min="15" max="15" width="37.42578125" style="29" customWidth="1"/>
    <col min="16" max="16" width="20.85546875" style="88" customWidth="1"/>
    <col min="17" max="16384" width="9.140625" style="29"/>
  </cols>
  <sheetData>
    <row r="1" spans="2:17" x14ac:dyDescent="0.25">
      <c r="B1" s="134" t="s">
        <v>353</v>
      </c>
      <c r="F1" s="29"/>
      <c r="G1" s="29"/>
      <c r="H1" s="29"/>
      <c r="I1" s="29"/>
      <c r="J1" s="29"/>
      <c r="K1" s="29"/>
    </row>
    <row r="2" spans="2:17" ht="15" customHeight="1" x14ac:dyDescent="0.25">
      <c r="B2" s="196"/>
      <c r="C2" s="196"/>
      <c r="F2" s="29"/>
      <c r="G2" s="29"/>
      <c r="H2" s="29"/>
      <c r="I2" s="29"/>
      <c r="J2" s="29"/>
      <c r="K2" s="29"/>
    </row>
    <row r="3" spans="2:17" ht="14.85" customHeight="1" x14ac:dyDescent="0.25">
      <c r="B3" s="196"/>
      <c r="C3" s="196"/>
      <c r="F3" s="29"/>
      <c r="G3" s="29"/>
      <c r="H3" s="29"/>
      <c r="I3" s="29"/>
      <c r="J3" s="29"/>
      <c r="K3" s="29"/>
    </row>
    <row r="4" spans="2:17" ht="15.75" thickBot="1" x14ac:dyDescent="0.3">
      <c r="F4" s="29"/>
      <c r="G4" s="29"/>
      <c r="H4" s="29"/>
      <c r="I4" s="29"/>
      <c r="J4" s="29"/>
      <c r="K4" s="29"/>
    </row>
    <row r="5" spans="2:17" ht="18.75" thickBot="1" x14ac:dyDescent="0.4">
      <c r="F5" s="521" t="s">
        <v>333</v>
      </c>
      <c r="G5" s="522"/>
      <c r="H5" s="522"/>
      <c r="I5" s="522"/>
      <c r="J5" s="522"/>
      <c r="K5" s="522"/>
      <c r="L5" s="522"/>
      <c r="M5" s="522"/>
      <c r="N5" s="522"/>
      <c r="O5" s="523" t="s">
        <v>351</v>
      </c>
      <c r="P5" s="524"/>
    </row>
    <row r="6" spans="2:17" s="96" customFormat="1" ht="78" x14ac:dyDescent="0.25">
      <c r="B6" s="135" t="s">
        <v>79</v>
      </c>
      <c r="C6" s="136" t="s">
        <v>10</v>
      </c>
      <c r="D6" s="136" t="s">
        <v>11</v>
      </c>
      <c r="E6" s="137" t="s">
        <v>85</v>
      </c>
      <c r="F6" s="138" t="s">
        <v>168</v>
      </c>
      <c r="G6" s="44" t="s">
        <v>318</v>
      </c>
      <c r="H6" s="44" t="s">
        <v>317</v>
      </c>
      <c r="I6" s="197" t="s">
        <v>96</v>
      </c>
      <c r="J6" s="520" t="s">
        <v>325</v>
      </c>
      <c r="K6" s="520"/>
      <c r="L6" s="197" t="s">
        <v>209</v>
      </c>
      <c r="M6" s="197" t="s">
        <v>381</v>
      </c>
      <c r="N6" s="197" t="s">
        <v>222</v>
      </c>
      <c r="O6" s="383" t="s">
        <v>60</v>
      </c>
      <c r="P6" s="384" t="s">
        <v>433</v>
      </c>
    </row>
    <row r="7" spans="2:17" ht="18.75" x14ac:dyDescent="0.35">
      <c r="B7" s="198"/>
      <c r="C7" s="199"/>
      <c r="D7" s="199"/>
      <c r="E7" s="200"/>
      <c r="F7" s="201" t="s">
        <v>326</v>
      </c>
      <c r="G7" s="202" t="s">
        <v>327</v>
      </c>
      <c r="H7" s="202" t="s">
        <v>328</v>
      </c>
      <c r="I7" s="202" t="s">
        <v>54</v>
      </c>
      <c r="J7" s="202"/>
      <c r="K7" s="202"/>
      <c r="L7" s="141" t="s">
        <v>329</v>
      </c>
      <c r="M7" s="202" t="s">
        <v>330</v>
      </c>
      <c r="N7" s="202" t="s">
        <v>54</v>
      </c>
      <c r="O7" s="201" t="s">
        <v>331</v>
      </c>
      <c r="P7" s="203"/>
    </row>
    <row r="8" spans="2:17" ht="18.75" thickBot="1" x14ac:dyDescent="0.4">
      <c r="B8" s="204" t="s">
        <v>300</v>
      </c>
      <c r="C8" s="205" t="s">
        <v>300</v>
      </c>
      <c r="D8" s="205" t="s">
        <v>300</v>
      </c>
      <c r="E8" s="206" t="s">
        <v>300</v>
      </c>
      <c r="F8" s="153" t="s">
        <v>169</v>
      </c>
      <c r="G8" s="155" t="s">
        <v>84</v>
      </c>
      <c r="H8" s="155" t="s">
        <v>86</v>
      </c>
      <c r="I8" s="155" t="s">
        <v>324</v>
      </c>
      <c r="J8" s="155" t="s">
        <v>323</v>
      </c>
      <c r="K8" s="155" t="s">
        <v>323</v>
      </c>
      <c r="L8" s="151" t="s">
        <v>185</v>
      </c>
      <c r="M8" s="151" t="s">
        <v>332</v>
      </c>
      <c r="N8" s="151" t="s">
        <v>181</v>
      </c>
      <c r="O8" s="150" t="s">
        <v>73</v>
      </c>
      <c r="P8" s="385" t="s">
        <v>436</v>
      </c>
      <c r="Q8" s="29" t="s">
        <v>300</v>
      </c>
    </row>
    <row r="9" spans="2:17" x14ac:dyDescent="0.25">
      <c r="B9" s="160" t="str">
        <f>C9&amp;D9&amp;E9</f>
        <v>EquineSmall (&lt;300 kg)</v>
      </c>
      <c r="C9" s="209" t="s">
        <v>14</v>
      </c>
      <c r="D9" s="209" t="s">
        <v>403</v>
      </c>
      <c r="E9" s="161"/>
      <c r="F9" s="162">
        <v>18</v>
      </c>
      <c r="J9" s="29"/>
      <c r="K9" s="29"/>
      <c r="L9" s="88">
        <v>5.65</v>
      </c>
      <c r="M9" s="88">
        <v>0.3</v>
      </c>
      <c r="N9" s="88">
        <v>50</v>
      </c>
      <c r="O9" s="162">
        <v>0.26</v>
      </c>
      <c r="P9" s="166">
        <v>7.0000000000000007E-2</v>
      </c>
    </row>
    <row r="10" spans="2:17" x14ac:dyDescent="0.25">
      <c r="B10" s="160" t="str">
        <f t="shared" ref="B10:B39" si="0">C10&amp;D10&amp;E10</f>
        <v>EquineMedium (300 – 600 kg)</v>
      </c>
      <c r="C10" s="209" t="s">
        <v>14</v>
      </c>
      <c r="D10" s="209" t="s">
        <v>405</v>
      </c>
      <c r="E10" s="161"/>
      <c r="F10" s="162">
        <v>18</v>
      </c>
      <c r="J10" s="29"/>
      <c r="K10" s="29"/>
      <c r="L10" s="88">
        <v>5.65</v>
      </c>
      <c r="M10" s="88">
        <v>0.3</v>
      </c>
      <c r="N10" s="88">
        <v>50</v>
      </c>
      <c r="O10" s="162">
        <v>0.26</v>
      </c>
      <c r="P10" s="166">
        <v>7.0000000000000007E-2</v>
      </c>
    </row>
    <row r="11" spans="2:17" x14ac:dyDescent="0.25">
      <c r="B11" s="160" t="str">
        <f t="shared" si="0"/>
        <v>Deer</v>
      </c>
      <c r="C11" s="209" t="s">
        <v>17</v>
      </c>
      <c r="D11" s="209"/>
      <c r="E11" s="161"/>
      <c r="F11" s="162">
        <v>20</v>
      </c>
      <c r="J11" s="29"/>
      <c r="K11" s="29"/>
      <c r="O11" s="308"/>
      <c r="P11" s="166"/>
    </row>
    <row r="12" spans="2:17" x14ac:dyDescent="0.25">
      <c r="B12" s="160" t="str">
        <f t="shared" si="0"/>
        <v>Sheep</v>
      </c>
      <c r="C12" s="209" t="s">
        <v>15</v>
      </c>
      <c r="D12" s="209"/>
      <c r="E12" s="161"/>
      <c r="F12" s="162">
        <v>5</v>
      </c>
      <c r="J12" s="29"/>
      <c r="K12" s="29"/>
      <c r="O12" s="308"/>
      <c r="P12" s="166"/>
    </row>
    <row r="13" spans="2:17" x14ac:dyDescent="0.25">
      <c r="B13" s="160" t="str">
        <f t="shared" si="0"/>
        <v>Water buffalo</v>
      </c>
      <c r="C13" s="209" t="s">
        <v>13</v>
      </c>
      <c r="D13" s="209"/>
      <c r="E13" s="161"/>
      <c r="F13" s="162">
        <v>78</v>
      </c>
      <c r="J13" s="29"/>
      <c r="K13" s="29"/>
      <c r="O13" s="308"/>
      <c r="P13" s="166"/>
    </row>
    <row r="14" spans="2:17" x14ac:dyDescent="0.25">
      <c r="B14" s="160" t="str">
        <f t="shared" si="0"/>
        <v>Cattle</v>
      </c>
      <c r="C14" s="209" t="s">
        <v>16</v>
      </c>
      <c r="D14" s="209"/>
      <c r="E14" s="161"/>
      <c r="F14" s="162">
        <v>52</v>
      </c>
      <c r="J14" s="29"/>
      <c r="K14" s="29"/>
      <c r="O14" s="308"/>
      <c r="P14" s="166"/>
    </row>
    <row r="15" spans="2:17" x14ac:dyDescent="0.25">
      <c r="B15" s="160" t="str">
        <f>C15&amp;D15&amp;E15</f>
        <v>Bison</v>
      </c>
      <c r="C15" s="209" t="s">
        <v>12</v>
      </c>
      <c r="D15" s="209"/>
      <c r="E15" s="161"/>
      <c r="F15" s="162">
        <v>78</v>
      </c>
      <c r="J15" s="29"/>
      <c r="K15" s="29"/>
      <c r="O15" s="308"/>
      <c r="P15" s="166"/>
    </row>
    <row r="16" spans="2:17" x14ac:dyDescent="0.25">
      <c r="B16" s="160" t="str">
        <f t="shared" si="0"/>
        <v>BisonEuropean (360 – 990 kg)</v>
      </c>
      <c r="C16" s="209" t="s">
        <v>12</v>
      </c>
      <c r="D16" s="209" t="s">
        <v>407</v>
      </c>
      <c r="E16" s="161"/>
      <c r="F16" s="162"/>
      <c r="G16" s="119">
        <v>0.32200000000000001</v>
      </c>
      <c r="I16" s="88">
        <v>7</v>
      </c>
      <c r="J16" s="88">
        <v>1</v>
      </c>
      <c r="L16" s="88">
        <v>7.7</v>
      </c>
      <c r="M16" s="88">
        <v>0.1</v>
      </c>
      <c r="N16" s="88">
        <v>48</v>
      </c>
      <c r="O16" s="162">
        <v>0.45</v>
      </c>
      <c r="P16" s="166">
        <v>0.06</v>
      </c>
    </row>
    <row r="17" spans="2:16" x14ac:dyDescent="0.25">
      <c r="B17" s="160" t="str">
        <f t="shared" si="0"/>
        <v>BisonEuropean (360 – 990 kg)Inactive</v>
      </c>
      <c r="C17" s="209" t="s">
        <v>12</v>
      </c>
      <c r="D17" s="209" t="s">
        <v>407</v>
      </c>
      <c r="E17" s="161" t="s">
        <v>360</v>
      </c>
      <c r="F17" s="162"/>
      <c r="H17" s="88">
        <v>0.17</v>
      </c>
      <c r="J17" s="29"/>
      <c r="K17" s="29"/>
      <c r="O17" s="308"/>
      <c r="P17" s="166"/>
    </row>
    <row r="18" spans="2:16" x14ac:dyDescent="0.25">
      <c r="B18" s="160" t="str">
        <f t="shared" si="0"/>
        <v>BisonEuropean (360 – 990 kg)Active</v>
      </c>
      <c r="C18" s="209" t="s">
        <v>12</v>
      </c>
      <c r="D18" s="209" t="s">
        <v>407</v>
      </c>
      <c r="E18" s="161" t="s">
        <v>361</v>
      </c>
      <c r="F18" s="162"/>
      <c r="H18" s="88">
        <v>0.36</v>
      </c>
      <c r="J18" s="29"/>
      <c r="K18" s="29"/>
      <c r="O18" s="308"/>
      <c r="P18" s="166"/>
    </row>
    <row r="19" spans="2:16" x14ac:dyDescent="0.25">
      <c r="B19" s="160" t="str">
        <f t="shared" si="0"/>
        <v>Water buffaloStandard (300 – 600 kg)</v>
      </c>
      <c r="C19" s="209" t="s">
        <v>13</v>
      </c>
      <c r="D19" s="209" t="s">
        <v>409</v>
      </c>
      <c r="E19" s="161"/>
      <c r="F19" s="162"/>
      <c r="G19" s="119">
        <v>0.32200000000000001</v>
      </c>
      <c r="I19" s="88">
        <v>7</v>
      </c>
      <c r="J19" s="88">
        <v>1</v>
      </c>
      <c r="L19" s="88">
        <v>7.7</v>
      </c>
      <c r="M19" s="88">
        <v>0.1</v>
      </c>
      <c r="N19" s="88">
        <v>48</v>
      </c>
      <c r="O19" s="162">
        <v>0.45</v>
      </c>
      <c r="P19" s="166">
        <v>0.06</v>
      </c>
    </row>
    <row r="20" spans="2:16" x14ac:dyDescent="0.25">
      <c r="B20" s="160" t="str">
        <f t="shared" si="0"/>
        <v>Water buffaloStandard (300 – 600 kg)Inactive</v>
      </c>
      <c r="C20" s="209" t="s">
        <v>13</v>
      </c>
      <c r="D20" s="209" t="s">
        <v>409</v>
      </c>
      <c r="E20" s="161" t="s">
        <v>360</v>
      </c>
      <c r="F20" s="162"/>
      <c r="H20" s="88">
        <v>0.17</v>
      </c>
      <c r="J20" s="29"/>
      <c r="K20" s="29"/>
      <c r="O20" s="308"/>
      <c r="P20" s="166"/>
    </row>
    <row r="21" spans="2:16" x14ac:dyDescent="0.25">
      <c r="B21" s="160" t="str">
        <f t="shared" si="0"/>
        <v>Water buffaloStandard (300 – 600 kg)Active</v>
      </c>
      <c r="C21" s="209" t="s">
        <v>13</v>
      </c>
      <c r="D21" s="209" t="s">
        <v>409</v>
      </c>
      <c r="E21" s="161" t="s">
        <v>361</v>
      </c>
      <c r="F21" s="162"/>
      <c r="H21" s="88">
        <v>0.36</v>
      </c>
      <c r="J21" s="29"/>
      <c r="K21" s="29"/>
      <c r="O21" s="308"/>
      <c r="P21" s="166"/>
    </row>
    <row r="22" spans="2:16" x14ac:dyDescent="0.25">
      <c r="B22" s="160" t="str">
        <f t="shared" si="0"/>
        <v>SheepSmall (&lt;50 kg)</v>
      </c>
      <c r="C22" s="209" t="s">
        <v>15</v>
      </c>
      <c r="D22" s="209" t="s">
        <v>400</v>
      </c>
      <c r="E22" s="161"/>
      <c r="F22" s="162"/>
      <c r="G22" s="119">
        <v>0.217</v>
      </c>
      <c r="I22" s="88">
        <v>6.7</v>
      </c>
      <c r="J22" s="88">
        <v>2.5</v>
      </c>
      <c r="K22" s="88">
        <v>0.35</v>
      </c>
      <c r="L22" s="88">
        <v>8.1999999999999993</v>
      </c>
      <c r="M22" s="88">
        <v>0.19</v>
      </c>
      <c r="N22" s="88">
        <v>87</v>
      </c>
      <c r="O22" s="162">
        <v>0.36</v>
      </c>
      <c r="P22" s="166">
        <v>0.1</v>
      </c>
    </row>
    <row r="23" spans="2:16" x14ac:dyDescent="0.25">
      <c r="B23" s="160" t="str">
        <f t="shared" si="0"/>
        <v>SheepSmall (&lt;50 kg)Inactive</v>
      </c>
      <c r="C23" s="209" t="s">
        <v>15</v>
      </c>
      <c r="D23" s="209" t="s">
        <v>400</v>
      </c>
      <c r="E23" s="161" t="s">
        <v>360</v>
      </c>
      <c r="F23" s="162"/>
      <c r="H23" s="88">
        <v>1.0699999999999999E-2</v>
      </c>
      <c r="J23" s="29"/>
      <c r="K23" s="29"/>
      <c r="O23" s="308"/>
      <c r="P23" s="166"/>
    </row>
    <row r="24" spans="2:16" x14ac:dyDescent="0.25">
      <c r="B24" s="160" t="str">
        <f t="shared" si="0"/>
        <v>SheepSmall (&lt;50 kg)Active</v>
      </c>
      <c r="C24" s="209" t="s">
        <v>15</v>
      </c>
      <c r="D24" s="209" t="s">
        <v>400</v>
      </c>
      <c r="E24" s="161" t="s">
        <v>361</v>
      </c>
      <c r="F24" s="162"/>
      <c r="H24" s="88">
        <v>2.4E-2</v>
      </c>
      <c r="J24" s="29"/>
      <c r="K24" s="29"/>
      <c r="O24" s="308"/>
      <c r="P24" s="166"/>
    </row>
    <row r="25" spans="2:16" x14ac:dyDescent="0.25">
      <c r="B25" s="160" t="str">
        <f t="shared" si="0"/>
        <v>SheepMedium (50 kg - 70 kg)</v>
      </c>
      <c r="C25" s="209" t="s">
        <v>15</v>
      </c>
      <c r="D25" s="209" t="s">
        <v>401</v>
      </c>
      <c r="E25" s="161"/>
      <c r="F25" s="162"/>
      <c r="G25" s="119">
        <v>0.217</v>
      </c>
      <c r="I25" s="88">
        <v>6.7</v>
      </c>
      <c r="J25" s="88">
        <v>2.5</v>
      </c>
      <c r="K25" s="88">
        <v>0.35</v>
      </c>
      <c r="L25" s="88">
        <v>8.1999999999999993</v>
      </c>
      <c r="M25" s="88">
        <v>0.19</v>
      </c>
      <c r="N25" s="88">
        <v>87</v>
      </c>
      <c r="O25" s="162">
        <v>0.36</v>
      </c>
      <c r="P25" s="166">
        <v>0.1</v>
      </c>
    </row>
    <row r="26" spans="2:16" x14ac:dyDescent="0.25">
      <c r="B26" s="160" t="str">
        <f t="shared" si="0"/>
        <v>SheepMedium (50 kg - 70 kg)Inactive</v>
      </c>
      <c r="C26" s="209" t="s">
        <v>15</v>
      </c>
      <c r="D26" s="209" t="s">
        <v>401</v>
      </c>
      <c r="E26" s="161" t="s">
        <v>360</v>
      </c>
      <c r="F26" s="162"/>
      <c r="H26" s="88">
        <v>1.0699999999999999E-2</v>
      </c>
      <c r="J26" s="29"/>
      <c r="K26" s="29"/>
      <c r="O26" s="308"/>
      <c r="P26" s="166"/>
    </row>
    <row r="27" spans="2:16" x14ac:dyDescent="0.25">
      <c r="B27" s="160" t="str">
        <f t="shared" si="0"/>
        <v>SheepMedium (50 kg - 70 kg)Active</v>
      </c>
      <c r="C27" s="209" t="s">
        <v>15</v>
      </c>
      <c r="D27" s="209" t="s">
        <v>401</v>
      </c>
      <c r="E27" s="161" t="s">
        <v>361</v>
      </c>
      <c r="F27" s="162"/>
      <c r="H27" s="88">
        <v>2.4E-2</v>
      </c>
      <c r="J27" s="29"/>
      <c r="K27" s="29"/>
      <c r="O27" s="308"/>
      <c r="P27" s="166"/>
    </row>
    <row r="28" spans="2:16" x14ac:dyDescent="0.25">
      <c r="B28" s="160" t="str">
        <f t="shared" si="0"/>
        <v>SheepLarge (&gt;70 kg)</v>
      </c>
      <c r="C28" s="209" t="s">
        <v>15</v>
      </c>
      <c r="D28" s="209" t="s">
        <v>402</v>
      </c>
      <c r="E28" s="161"/>
      <c r="F28" s="162"/>
      <c r="G28" s="119">
        <v>0.217</v>
      </c>
      <c r="I28" s="88">
        <v>6.7</v>
      </c>
      <c r="J28" s="88">
        <v>2.5</v>
      </c>
      <c r="K28" s="88">
        <v>0.35</v>
      </c>
      <c r="L28" s="88">
        <v>8.1999999999999993</v>
      </c>
      <c r="M28" s="88">
        <v>0.19</v>
      </c>
      <c r="N28" s="88">
        <v>87</v>
      </c>
      <c r="O28" s="162">
        <v>0.36</v>
      </c>
      <c r="P28" s="166">
        <v>0.1</v>
      </c>
    </row>
    <row r="29" spans="2:16" x14ac:dyDescent="0.25">
      <c r="B29" s="160" t="str">
        <f t="shared" si="0"/>
        <v>SheepLarge (&gt;70 kg)Inactive</v>
      </c>
      <c r="C29" s="209" t="s">
        <v>15</v>
      </c>
      <c r="D29" s="209" t="s">
        <v>402</v>
      </c>
      <c r="E29" s="161" t="s">
        <v>360</v>
      </c>
      <c r="F29" s="162"/>
      <c r="H29" s="88">
        <v>1.0699999999999999E-2</v>
      </c>
      <c r="J29" s="29"/>
      <c r="K29" s="29"/>
      <c r="O29" s="308"/>
      <c r="P29" s="166"/>
    </row>
    <row r="30" spans="2:16" x14ac:dyDescent="0.25">
      <c r="B30" s="160" t="str">
        <f t="shared" si="0"/>
        <v>SheepLarge (&gt;70 kg)Active</v>
      </c>
      <c r="C30" s="209" t="s">
        <v>15</v>
      </c>
      <c r="D30" s="209" t="s">
        <v>402</v>
      </c>
      <c r="E30" s="161" t="s">
        <v>361</v>
      </c>
      <c r="F30" s="162"/>
      <c r="H30" s="88">
        <v>2.4E-2</v>
      </c>
      <c r="J30" s="29"/>
      <c r="K30" s="29"/>
      <c r="O30" s="308"/>
      <c r="P30" s="166"/>
    </row>
    <row r="31" spans="2:16" x14ac:dyDescent="0.25">
      <c r="B31" s="160" t="str">
        <f t="shared" si="0"/>
        <v>CattleSmall (&lt;500 kg)</v>
      </c>
      <c r="C31" s="209" t="s">
        <v>16</v>
      </c>
      <c r="D31" s="209" t="s">
        <v>397</v>
      </c>
      <c r="E31" s="161"/>
      <c r="F31" s="162"/>
      <c r="G31" s="119">
        <v>0.32200000000000001</v>
      </c>
      <c r="I31" s="88">
        <v>7</v>
      </c>
      <c r="J31" s="88">
        <v>1</v>
      </c>
      <c r="L31" s="88">
        <v>5.7</v>
      </c>
      <c r="M31" s="88">
        <v>0.18</v>
      </c>
      <c r="N31" s="88">
        <v>48</v>
      </c>
      <c r="O31" s="162">
        <v>0.42</v>
      </c>
      <c r="P31" s="166">
        <v>0.04</v>
      </c>
    </row>
    <row r="32" spans="2:16" x14ac:dyDescent="0.25">
      <c r="B32" s="160" t="str">
        <f t="shared" si="0"/>
        <v>CattleSmall (&lt;500 kg)Inactive</v>
      </c>
      <c r="C32" s="209" t="s">
        <v>16</v>
      </c>
      <c r="D32" s="209" t="s">
        <v>397</v>
      </c>
      <c r="E32" s="161" t="s">
        <v>360</v>
      </c>
      <c r="F32" s="162"/>
      <c r="H32" s="88">
        <v>0.17</v>
      </c>
      <c r="J32" s="29"/>
      <c r="K32" s="29"/>
      <c r="O32" s="308"/>
      <c r="P32" s="166"/>
    </row>
    <row r="33" spans="2:16" x14ac:dyDescent="0.25">
      <c r="B33" s="160" t="str">
        <f t="shared" si="0"/>
        <v>CattleSmall (&lt;500 kg)Active</v>
      </c>
      <c r="C33" s="209" t="s">
        <v>16</v>
      </c>
      <c r="D33" s="209" t="s">
        <v>397</v>
      </c>
      <c r="E33" s="161" t="s">
        <v>361</v>
      </c>
      <c r="F33" s="162"/>
      <c r="H33" s="88">
        <v>0.36</v>
      </c>
      <c r="J33" s="29"/>
      <c r="K33" s="29"/>
      <c r="O33" s="308"/>
      <c r="P33" s="166"/>
    </row>
    <row r="34" spans="2:16" x14ac:dyDescent="0.25">
      <c r="B34" s="160" t="str">
        <f t="shared" si="0"/>
        <v>CattleMedium (500 kg - 700 kg)</v>
      </c>
      <c r="C34" s="209" t="s">
        <v>16</v>
      </c>
      <c r="D34" s="209" t="s">
        <v>398</v>
      </c>
      <c r="E34" s="161"/>
      <c r="F34" s="162"/>
      <c r="G34" s="119">
        <v>0.32200000000000001</v>
      </c>
      <c r="I34" s="88">
        <v>7</v>
      </c>
      <c r="J34" s="88">
        <v>1</v>
      </c>
      <c r="L34" s="88">
        <v>5.7</v>
      </c>
      <c r="M34" s="88">
        <v>0.18</v>
      </c>
      <c r="N34" s="88">
        <v>48</v>
      </c>
      <c r="O34" s="162">
        <v>0.42</v>
      </c>
      <c r="P34" s="166">
        <v>0.04</v>
      </c>
    </row>
    <row r="35" spans="2:16" x14ac:dyDescent="0.25">
      <c r="B35" s="160" t="str">
        <f t="shared" si="0"/>
        <v>CattleMedium (500 kg - 700 kg)Inactive</v>
      </c>
      <c r="C35" s="209" t="s">
        <v>16</v>
      </c>
      <c r="D35" s="209" t="s">
        <v>398</v>
      </c>
      <c r="E35" s="161" t="s">
        <v>360</v>
      </c>
      <c r="F35" s="162"/>
      <c r="H35" s="88">
        <v>0.17</v>
      </c>
      <c r="J35" s="29"/>
      <c r="K35" s="29"/>
      <c r="O35" s="308"/>
      <c r="P35" s="166"/>
    </row>
    <row r="36" spans="2:16" x14ac:dyDescent="0.25">
      <c r="B36" s="160" t="str">
        <f t="shared" si="0"/>
        <v>CattleMedium (500 kg - 700 kg)Active</v>
      </c>
      <c r="C36" s="209" t="s">
        <v>16</v>
      </c>
      <c r="D36" s="209" t="s">
        <v>398</v>
      </c>
      <c r="E36" s="161" t="s">
        <v>361</v>
      </c>
      <c r="F36" s="162"/>
      <c r="H36" s="88">
        <v>0.36</v>
      </c>
      <c r="J36" s="29"/>
      <c r="K36" s="29"/>
      <c r="O36" s="308"/>
      <c r="P36" s="166"/>
    </row>
    <row r="37" spans="2:16" x14ac:dyDescent="0.25">
      <c r="B37" s="160" t="str">
        <f t="shared" si="0"/>
        <v>CattleLarge (&gt;700 kg)</v>
      </c>
      <c r="C37" s="209" t="s">
        <v>16</v>
      </c>
      <c r="D37" s="209" t="s">
        <v>399</v>
      </c>
      <c r="E37" s="161"/>
      <c r="F37" s="162"/>
      <c r="G37" s="119">
        <v>0.32200000000000001</v>
      </c>
      <c r="I37" s="88">
        <v>7</v>
      </c>
      <c r="J37" s="88">
        <v>1</v>
      </c>
      <c r="L37" s="88">
        <v>5.7</v>
      </c>
      <c r="M37" s="88">
        <v>0.18</v>
      </c>
      <c r="N37" s="88">
        <v>48</v>
      </c>
      <c r="O37" s="162">
        <v>0.42</v>
      </c>
      <c r="P37" s="166">
        <v>0.04</v>
      </c>
    </row>
    <row r="38" spans="2:16" x14ac:dyDescent="0.25">
      <c r="B38" s="160" t="str">
        <f t="shared" si="0"/>
        <v>CattleLarge (&gt;700 kg)Inactive</v>
      </c>
      <c r="C38" s="209" t="s">
        <v>16</v>
      </c>
      <c r="D38" s="209" t="s">
        <v>399</v>
      </c>
      <c r="E38" s="161" t="s">
        <v>360</v>
      </c>
      <c r="F38" s="162"/>
      <c r="H38" s="88">
        <v>0.17</v>
      </c>
      <c r="J38" s="29"/>
      <c r="K38" s="29"/>
      <c r="O38" s="308"/>
      <c r="P38" s="166"/>
    </row>
    <row r="39" spans="2:16" ht="15.75" thickBot="1" x14ac:dyDescent="0.3">
      <c r="B39" s="168" t="str">
        <f t="shared" si="0"/>
        <v>CattleLarge (&gt;700 kg)Active</v>
      </c>
      <c r="C39" s="169" t="s">
        <v>16</v>
      </c>
      <c r="D39" s="169" t="s">
        <v>399</v>
      </c>
      <c r="E39" s="170" t="s">
        <v>361</v>
      </c>
      <c r="F39" s="171"/>
      <c r="G39" s="173"/>
      <c r="H39" s="173">
        <v>0.36</v>
      </c>
      <c r="I39" s="173"/>
      <c r="J39" s="210"/>
      <c r="K39" s="210"/>
      <c r="L39" s="210"/>
      <c r="M39" s="210"/>
      <c r="N39" s="210"/>
      <c r="O39" s="309"/>
      <c r="P39" s="172"/>
    </row>
  </sheetData>
  <sheetProtection algorithmName="SHA-512" hashValue="yEZqE2T4JgKEAZGUmP6plGS+hL8pP72Pq4i+HdpGB+6/0FHH3feNlpLyvTcPqvBsfhAFFUZgHhrnTyeYwOx6Yg==" saltValue="EHDWnNSp7coN2fBK3j6tug==" spinCount="100000" sheet="1" objects="1" scenarios="1"/>
  <autoFilter ref="B8:P39" xr:uid="{969CDE60-137C-462E-AAAF-000E1B00614C}"/>
  <mergeCells count="3">
    <mergeCell ref="J6:K6"/>
    <mergeCell ref="F5:N5"/>
    <mergeCell ref="O5:P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0701E-DDBD-4944-B876-DB1754F43C76}">
  <sheetPr codeName="Sheet10">
    <tabColor theme="4"/>
  </sheetPr>
  <dimension ref="B1:S14"/>
  <sheetViews>
    <sheetView workbookViewId="0">
      <selection activeCell="H16" sqref="H16"/>
    </sheetView>
  </sheetViews>
  <sheetFormatPr defaultColWidth="9.140625" defaultRowHeight="15" x14ac:dyDescent="0.25"/>
  <cols>
    <col min="1" max="1" width="9.140625" style="29"/>
    <col min="2" max="2" width="33.85546875" style="29" bestFit="1" customWidth="1"/>
    <col min="3" max="3" width="9.5703125" style="29" customWidth="1"/>
    <col min="4" max="4" width="16.85546875" style="29" customWidth="1"/>
    <col min="5" max="6" width="11.5703125" style="29" customWidth="1"/>
    <col min="7" max="8" width="14.140625" style="29" customWidth="1"/>
    <col min="9" max="10" width="14.140625" style="88" customWidth="1"/>
    <col min="11" max="11" width="13.85546875" style="88" customWidth="1"/>
    <col min="12" max="12" width="18.85546875" style="29" customWidth="1"/>
    <col min="13" max="13" width="14.140625" style="29" customWidth="1"/>
    <col min="14" max="14" width="13" style="29" customWidth="1"/>
    <col min="15" max="15" width="13.140625" style="29" customWidth="1"/>
    <col min="16" max="16" width="15.5703125" style="29" customWidth="1"/>
    <col min="17" max="17" width="16" style="29" customWidth="1"/>
    <col min="18" max="18" width="11.85546875" style="29" customWidth="1"/>
    <col min="19" max="16384" width="9.140625" style="29"/>
  </cols>
  <sheetData>
    <row r="1" spans="2:19" x14ac:dyDescent="0.25">
      <c r="B1" s="134" t="s">
        <v>146</v>
      </c>
    </row>
    <row r="3" spans="2:19" ht="15.75" thickBot="1" x14ac:dyDescent="0.3"/>
    <row r="4" spans="2:19" ht="15.75" thickBot="1" x14ac:dyDescent="0.3">
      <c r="E4" s="526" t="s">
        <v>46</v>
      </c>
      <c r="F4" s="527"/>
      <c r="G4" s="526" t="s">
        <v>289</v>
      </c>
      <c r="H4" s="527"/>
      <c r="I4" s="521" t="s">
        <v>106</v>
      </c>
      <c r="J4" s="522"/>
      <c r="K4" s="522"/>
      <c r="L4" s="525"/>
      <c r="M4" s="521" t="s">
        <v>302</v>
      </c>
      <c r="N4" s="522"/>
      <c r="O4" s="522"/>
      <c r="P4" s="522"/>
      <c r="Q4" s="522"/>
      <c r="R4" s="525"/>
    </row>
    <row r="5" spans="2:19" s="212" customFormat="1" ht="45" x14ac:dyDescent="0.25">
      <c r="B5" s="211" t="s">
        <v>6</v>
      </c>
      <c r="C5" s="30" t="s">
        <v>288</v>
      </c>
      <c r="D5" s="48" t="s">
        <v>281</v>
      </c>
      <c r="E5" s="26" t="s">
        <v>46</v>
      </c>
      <c r="F5" s="48" t="s">
        <v>30</v>
      </c>
      <c r="G5" s="26" t="s">
        <v>289</v>
      </c>
      <c r="H5" s="48" t="s">
        <v>30</v>
      </c>
      <c r="I5" s="26" t="s">
        <v>135</v>
      </c>
      <c r="J5" s="47" t="s">
        <v>136</v>
      </c>
      <c r="K5" s="47" t="s">
        <v>141</v>
      </c>
      <c r="L5" s="48" t="s">
        <v>30</v>
      </c>
      <c r="M5" s="26" t="s">
        <v>303</v>
      </c>
      <c r="N5" s="47" t="s">
        <v>290</v>
      </c>
      <c r="O5" s="47" t="s">
        <v>291</v>
      </c>
      <c r="P5" s="47" t="s">
        <v>379</v>
      </c>
      <c r="Q5" s="47" t="s">
        <v>380</v>
      </c>
      <c r="R5" s="48" t="s">
        <v>30</v>
      </c>
    </row>
    <row r="6" spans="2:19" s="96" customFormat="1" ht="19.5" thickBot="1" x14ac:dyDescent="0.3">
      <c r="B6" s="213" t="s">
        <v>29</v>
      </c>
      <c r="C6" s="38" t="s">
        <v>154</v>
      </c>
      <c r="D6" s="42"/>
      <c r="E6" s="41" t="s">
        <v>54</v>
      </c>
      <c r="F6" s="42"/>
      <c r="G6" s="41" t="s">
        <v>54</v>
      </c>
      <c r="H6" s="42"/>
      <c r="I6" s="41"/>
      <c r="J6" s="45"/>
      <c r="K6" s="45"/>
      <c r="L6" s="42"/>
      <c r="M6" s="45" t="s">
        <v>292</v>
      </c>
      <c r="N6" s="45" t="s">
        <v>292</v>
      </c>
      <c r="O6" s="45" t="s">
        <v>293</v>
      </c>
      <c r="P6" s="45" t="s">
        <v>294</v>
      </c>
      <c r="Q6" s="45" t="s">
        <v>294</v>
      </c>
      <c r="R6" s="214"/>
    </row>
    <row r="7" spans="2:19" x14ac:dyDescent="0.25">
      <c r="B7" s="215" t="s">
        <v>382</v>
      </c>
      <c r="C7" s="88">
        <f>IFERROR(INDEX('Conservation grazing tool'!$D$20:$D$20,MATCH(B7,'Conservation grazing tool'!$C$20:$C$20,0)),0)</f>
        <v>0</v>
      </c>
      <c r="D7" s="166" t="s">
        <v>361</v>
      </c>
      <c r="E7" s="162">
        <v>55</v>
      </c>
      <c r="F7" s="216" t="s">
        <v>98</v>
      </c>
      <c r="G7" s="162">
        <v>15</v>
      </c>
      <c r="H7" s="216" t="s">
        <v>119</v>
      </c>
      <c r="I7" s="315">
        <v>0.5</v>
      </c>
      <c r="J7" s="119">
        <v>0.25</v>
      </c>
      <c r="K7" s="119">
        <v>0.125</v>
      </c>
      <c r="L7" s="216" t="s">
        <v>411</v>
      </c>
      <c r="M7" s="217" t="s">
        <v>301</v>
      </c>
      <c r="N7" s="218">
        <v>69</v>
      </c>
      <c r="O7" s="218" t="s">
        <v>295</v>
      </c>
      <c r="P7" s="218">
        <v>0.04</v>
      </c>
      <c r="Q7" s="218">
        <v>0</v>
      </c>
      <c r="R7" s="190" t="s">
        <v>385</v>
      </c>
      <c r="S7" s="95" t="s">
        <v>300</v>
      </c>
    </row>
    <row r="8" spans="2:19" x14ac:dyDescent="0.25">
      <c r="B8" s="215" t="s">
        <v>0</v>
      </c>
      <c r="C8" s="88">
        <f>IFERROR(INDEX('Conservation grazing tool'!$D$20:$D$20,MATCH(B8,'Conservation grazing tool'!$C$20:$C$20,0)),0)</f>
        <v>0</v>
      </c>
      <c r="D8" s="166" t="s">
        <v>361</v>
      </c>
      <c r="E8" s="162">
        <v>55</v>
      </c>
      <c r="F8" s="216" t="s">
        <v>98</v>
      </c>
      <c r="G8" s="162">
        <v>15</v>
      </c>
      <c r="H8" s="216" t="s">
        <v>119</v>
      </c>
      <c r="I8" s="315">
        <v>0.5</v>
      </c>
      <c r="J8" s="119">
        <v>0.25</v>
      </c>
      <c r="K8" s="119">
        <v>0.125</v>
      </c>
      <c r="L8" s="216" t="s">
        <v>386</v>
      </c>
      <c r="M8" s="162">
        <v>0.6</v>
      </c>
      <c r="N8" s="95">
        <v>59</v>
      </c>
      <c r="O8" s="95" t="s">
        <v>296</v>
      </c>
      <c r="P8" s="95">
        <v>-2.35</v>
      </c>
      <c r="Q8" s="95">
        <v>-6</v>
      </c>
      <c r="R8" s="186" t="s">
        <v>299</v>
      </c>
      <c r="S8" s="95" t="s">
        <v>300</v>
      </c>
    </row>
    <row r="9" spans="2:19" x14ac:dyDescent="0.25">
      <c r="B9" s="215" t="s">
        <v>1</v>
      </c>
      <c r="C9" s="88">
        <f>IFERROR(INDEX('Conservation grazing tool'!$D$20:$D$20,MATCH(B9,'Conservation grazing tool'!$C$20:$C$20,0)),0)</f>
        <v>0</v>
      </c>
      <c r="D9" s="166" t="s">
        <v>361</v>
      </c>
      <c r="E9" s="162">
        <v>55</v>
      </c>
      <c r="F9" s="216" t="s">
        <v>98</v>
      </c>
      <c r="G9" s="162">
        <v>15</v>
      </c>
      <c r="H9" s="216" t="s">
        <v>119</v>
      </c>
      <c r="I9" s="315">
        <v>0.3</v>
      </c>
      <c r="J9" s="119">
        <v>0.1</v>
      </c>
      <c r="K9" s="119">
        <v>0.05</v>
      </c>
      <c r="L9" s="216" t="s">
        <v>386</v>
      </c>
      <c r="M9" s="162">
        <v>5.0000000000000001E-3</v>
      </c>
      <c r="N9" s="95">
        <v>9.5</v>
      </c>
      <c r="O9" s="95" t="s">
        <v>295</v>
      </c>
      <c r="P9" s="95">
        <v>0</v>
      </c>
      <c r="Q9" s="95">
        <v>-2.68</v>
      </c>
      <c r="R9" s="186" t="s">
        <v>299</v>
      </c>
      <c r="S9" s="95" t="s">
        <v>300</v>
      </c>
    </row>
    <row r="10" spans="2:19" x14ac:dyDescent="0.25">
      <c r="B10" s="215" t="s">
        <v>2</v>
      </c>
      <c r="C10" s="88">
        <f>IFERROR(INDEX('Conservation grazing tool'!$D$20:$D$20,MATCH(B10,'Conservation grazing tool'!$C$20:$C$20,0)),0)</f>
        <v>0</v>
      </c>
      <c r="D10" s="166" t="s">
        <v>361</v>
      </c>
      <c r="E10" s="162">
        <v>55</v>
      </c>
      <c r="F10" s="216" t="s">
        <v>98</v>
      </c>
      <c r="G10" s="162">
        <v>15</v>
      </c>
      <c r="H10" s="216" t="s">
        <v>119</v>
      </c>
      <c r="I10" s="315">
        <v>0.14500000000000002</v>
      </c>
      <c r="J10" s="119">
        <v>7.2500000000000009E-2</v>
      </c>
      <c r="K10" s="119">
        <v>3.6499999999999998E-2</v>
      </c>
      <c r="L10" s="216" t="s">
        <v>137</v>
      </c>
      <c r="M10" s="162">
        <v>6</v>
      </c>
      <c r="N10" s="95">
        <v>94</v>
      </c>
      <c r="O10" s="95" t="s">
        <v>296</v>
      </c>
      <c r="P10" s="95">
        <v>0.2</v>
      </c>
      <c r="Q10" s="95">
        <v>5.6</v>
      </c>
      <c r="R10" s="186" t="s">
        <v>385</v>
      </c>
      <c r="S10" s="95" t="s">
        <v>300</v>
      </c>
    </row>
    <row r="11" spans="2:19" x14ac:dyDescent="0.25">
      <c r="B11" s="215" t="s">
        <v>7</v>
      </c>
      <c r="C11" s="88">
        <f>IFERROR(INDEX('Conservation grazing tool'!$D$20:$D$20,MATCH(B11,'Conservation grazing tool'!$C$20:$C$20,0)),0)</f>
        <v>0</v>
      </c>
      <c r="D11" s="166" t="s">
        <v>361</v>
      </c>
      <c r="E11" s="162">
        <v>55</v>
      </c>
      <c r="F11" s="216" t="s">
        <v>98</v>
      </c>
      <c r="G11" s="162">
        <v>15</v>
      </c>
      <c r="H11" s="216" t="s">
        <v>119</v>
      </c>
      <c r="I11" s="315">
        <v>7.0000000000000007E-2</v>
      </c>
      <c r="J11" s="119">
        <v>3.5000000000000003E-2</v>
      </c>
      <c r="K11" s="119">
        <v>1.7500000000000002E-2</v>
      </c>
      <c r="L11" s="216" t="s">
        <v>386</v>
      </c>
      <c r="M11" s="219" t="s">
        <v>301</v>
      </c>
      <c r="N11" s="95" t="s">
        <v>301</v>
      </c>
      <c r="O11" s="95" t="s">
        <v>301</v>
      </c>
      <c r="P11" s="95" t="s">
        <v>301</v>
      </c>
      <c r="Q11" s="95" t="s">
        <v>301</v>
      </c>
      <c r="R11" s="186" t="s">
        <v>299</v>
      </c>
      <c r="S11" s="95" t="s">
        <v>300</v>
      </c>
    </row>
    <row r="12" spans="2:19" x14ac:dyDescent="0.25">
      <c r="B12" s="215" t="s">
        <v>3</v>
      </c>
      <c r="C12" s="88">
        <f>IFERROR(INDEX('Conservation grazing tool'!$D$20:$D$20,MATCH(B12,'Conservation grazing tool'!$C$20:$C$20,0)),0)</f>
        <v>0</v>
      </c>
      <c r="D12" s="166" t="s">
        <v>361</v>
      </c>
      <c r="E12" s="162">
        <v>55</v>
      </c>
      <c r="F12" s="216" t="s">
        <v>98</v>
      </c>
      <c r="G12" s="162">
        <v>15</v>
      </c>
      <c r="H12" s="216" t="s">
        <v>119</v>
      </c>
      <c r="I12" s="315">
        <v>0.4</v>
      </c>
      <c r="J12" s="119">
        <v>0.2</v>
      </c>
      <c r="K12" s="119">
        <v>0.1</v>
      </c>
      <c r="L12" s="216" t="s">
        <v>386</v>
      </c>
      <c r="M12" s="219" t="s">
        <v>301</v>
      </c>
      <c r="N12" s="95" t="s">
        <v>301</v>
      </c>
      <c r="O12" s="95" t="s">
        <v>301</v>
      </c>
      <c r="P12" s="95" t="s">
        <v>301</v>
      </c>
      <c r="Q12" s="95" t="s">
        <v>301</v>
      </c>
      <c r="R12" s="186" t="s">
        <v>299</v>
      </c>
      <c r="S12" s="95" t="s">
        <v>300</v>
      </c>
    </row>
    <row r="13" spans="2:19" x14ac:dyDescent="0.25">
      <c r="B13" s="215" t="s">
        <v>4</v>
      </c>
      <c r="C13" s="88">
        <f>IFERROR(INDEX('Conservation grazing tool'!$D$20:$D$20,MATCH(B13,'Conservation grazing tool'!$C$20:$C$20,0)),0)</f>
        <v>0</v>
      </c>
      <c r="D13" s="166" t="s">
        <v>361</v>
      </c>
      <c r="E13" s="162">
        <v>55</v>
      </c>
      <c r="F13" s="216" t="s">
        <v>98</v>
      </c>
      <c r="G13" s="162">
        <v>15</v>
      </c>
      <c r="H13" s="216" t="s">
        <v>119</v>
      </c>
      <c r="I13" s="315">
        <v>7.0000000000000007E-2</v>
      </c>
      <c r="J13" s="117">
        <v>3.5000000000000003E-2</v>
      </c>
      <c r="K13" s="117">
        <v>1.7999999999999999E-2</v>
      </c>
      <c r="L13" s="216" t="s">
        <v>137</v>
      </c>
      <c r="M13" s="219" t="s">
        <v>301</v>
      </c>
      <c r="N13" s="95">
        <v>799</v>
      </c>
      <c r="O13" s="95" t="s">
        <v>297</v>
      </c>
      <c r="P13" s="95">
        <v>13.14</v>
      </c>
      <c r="Q13" s="95">
        <v>-0.02</v>
      </c>
      <c r="R13" s="186" t="s">
        <v>299</v>
      </c>
      <c r="S13" s="95" t="s">
        <v>300</v>
      </c>
    </row>
    <row r="14" spans="2:19" ht="15.75" thickBot="1" x14ac:dyDescent="0.3">
      <c r="B14" s="220" t="s">
        <v>5</v>
      </c>
      <c r="C14" s="173">
        <f>IFERROR(INDEX('Conservation grazing tool'!$D$20:$D$20,MATCH(B14,'Conservation grazing tool'!$C$20:$C$20,0)),0)</f>
        <v>0</v>
      </c>
      <c r="D14" s="172" t="s">
        <v>361</v>
      </c>
      <c r="E14" s="171">
        <v>55</v>
      </c>
      <c r="F14" s="221" t="s">
        <v>98</v>
      </c>
      <c r="G14" s="171">
        <v>15</v>
      </c>
      <c r="H14" s="221" t="s">
        <v>119</v>
      </c>
      <c r="I14" s="316">
        <v>0.2</v>
      </c>
      <c r="J14" s="174">
        <v>0.1</v>
      </c>
      <c r="K14" s="174">
        <v>0.05</v>
      </c>
      <c r="L14" s="221" t="s">
        <v>412</v>
      </c>
      <c r="M14" s="222" t="s">
        <v>301</v>
      </c>
      <c r="N14" s="223">
        <v>1971</v>
      </c>
      <c r="O14" s="223" t="s">
        <v>298</v>
      </c>
      <c r="P14" s="223">
        <v>32.89</v>
      </c>
      <c r="Q14" s="223">
        <v>-0.93</v>
      </c>
      <c r="R14" s="194" t="s">
        <v>299</v>
      </c>
      <c r="S14" s="95" t="s">
        <v>300</v>
      </c>
    </row>
  </sheetData>
  <sheetProtection algorithmName="SHA-512" hashValue="nafWDyTgNgAZ9VQv6Tt2p5DoC/ghWI9rwhHfb5tLjxhXWoKg3nmlxJV+nzJC3kfqfbt2qTnMjZgVLnR2P8HPjQ==" saltValue="tBlYJMNb4lR3Tp+jYwBuHA==" spinCount="100000" sheet="1" objects="1" scenarios="1"/>
  <mergeCells count="4">
    <mergeCell ref="I4:L4"/>
    <mergeCell ref="M4:R4"/>
    <mergeCell ref="E4:F4"/>
    <mergeCell ref="G4:H4"/>
  </mergeCells>
  <phoneticPr fontId="5"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44537-2B5C-4313-B922-DE72C95EEA4F}">
  <sheetPr codeName="Sheet11"/>
  <dimension ref="A1:G11"/>
  <sheetViews>
    <sheetView workbookViewId="0"/>
  </sheetViews>
  <sheetFormatPr defaultColWidth="9.140625" defaultRowHeight="15" x14ac:dyDescent="0.25"/>
  <cols>
    <col min="1" max="1" width="12.42578125" style="29" bestFit="1" customWidth="1"/>
    <col min="2" max="2" width="9.140625" style="29"/>
    <col min="3" max="3" width="12.42578125" style="29" customWidth="1"/>
    <col min="4" max="4" width="22.42578125" style="29" customWidth="1"/>
    <col min="5" max="5" width="43" style="29" bestFit="1" customWidth="1"/>
    <col min="6" max="16384" width="9.140625" style="29"/>
  </cols>
  <sheetData>
    <row r="1" spans="1:7" s="89" customFormat="1" x14ac:dyDescent="0.25">
      <c r="A1" s="89" t="s">
        <v>10</v>
      </c>
      <c r="C1" s="89" t="s">
        <v>113</v>
      </c>
      <c r="D1" s="89" t="s">
        <v>395</v>
      </c>
      <c r="E1" s="89" t="s">
        <v>396</v>
      </c>
      <c r="G1" s="89" t="s">
        <v>138</v>
      </c>
    </row>
    <row r="2" spans="1:7" x14ac:dyDescent="0.25">
      <c r="A2" s="29" t="s">
        <v>74</v>
      </c>
      <c r="C2" s="29" t="s">
        <v>16</v>
      </c>
      <c r="D2" s="29" t="s">
        <v>397</v>
      </c>
      <c r="E2" s="29" t="s">
        <v>413</v>
      </c>
      <c r="F2" s="89"/>
      <c r="G2" s="29" t="s">
        <v>74</v>
      </c>
    </row>
    <row r="3" spans="1:7" x14ac:dyDescent="0.25">
      <c r="A3" s="29" t="s">
        <v>15</v>
      </c>
      <c r="C3" s="29" t="s">
        <v>16</v>
      </c>
      <c r="D3" s="29" t="s">
        <v>398</v>
      </c>
      <c r="E3" s="29" t="s">
        <v>393</v>
      </c>
      <c r="G3" s="29" t="s">
        <v>382</v>
      </c>
    </row>
    <row r="4" spans="1:7" x14ac:dyDescent="0.25">
      <c r="A4" s="29" t="s">
        <v>16</v>
      </c>
      <c r="C4" s="29" t="s">
        <v>16</v>
      </c>
      <c r="D4" s="29" t="s">
        <v>399</v>
      </c>
      <c r="E4" s="29" t="s">
        <v>394</v>
      </c>
      <c r="G4" s="29" t="s">
        <v>0</v>
      </c>
    </row>
    <row r="5" spans="1:7" x14ac:dyDescent="0.25">
      <c r="A5" s="29" t="s">
        <v>14</v>
      </c>
      <c r="C5" s="29" t="s">
        <v>15</v>
      </c>
      <c r="D5" s="29" t="s">
        <v>400</v>
      </c>
      <c r="E5" s="29" t="s">
        <v>391</v>
      </c>
      <c r="G5" s="29" t="s">
        <v>1</v>
      </c>
    </row>
    <row r="6" spans="1:7" x14ac:dyDescent="0.25">
      <c r="A6" s="29" t="s">
        <v>12</v>
      </c>
      <c r="C6" s="29" t="s">
        <v>15</v>
      </c>
      <c r="D6" s="29" t="s">
        <v>401</v>
      </c>
      <c r="E6" s="29" t="s">
        <v>392</v>
      </c>
      <c r="G6" s="29" t="s">
        <v>2</v>
      </c>
    </row>
    <row r="7" spans="1:7" x14ac:dyDescent="0.25">
      <c r="A7" s="29" t="s">
        <v>13</v>
      </c>
      <c r="C7" s="29" t="s">
        <v>15</v>
      </c>
      <c r="D7" s="29" t="s">
        <v>402</v>
      </c>
      <c r="E7" s="29" t="s">
        <v>434</v>
      </c>
      <c r="G7" s="29" t="s">
        <v>7</v>
      </c>
    </row>
    <row r="8" spans="1:7" x14ac:dyDescent="0.25">
      <c r="C8" s="29" t="s">
        <v>14</v>
      </c>
      <c r="D8" s="29" t="s">
        <v>403</v>
      </c>
      <c r="E8" s="29" t="s">
        <v>404</v>
      </c>
      <c r="G8" s="29" t="s">
        <v>3</v>
      </c>
    </row>
    <row r="9" spans="1:7" x14ac:dyDescent="0.25">
      <c r="C9" s="29" t="s">
        <v>14</v>
      </c>
      <c r="D9" s="29" t="s">
        <v>405</v>
      </c>
      <c r="E9" s="29" t="s">
        <v>406</v>
      </c>
      <c r="G9" s="29" t="s">
        <v>4</v>
      </c>
    </row>
    <row r="10" spans="1:7" x14ac:dyDescent="0.25">
      <c r="C10" s="29" t="s">
        <v>12</v>
      </c>
      <c r="D10" s="29" t="s">
        <v>407</v>
      </c>
      <c r="E10" s="29" t="s">
        <v>408</v>
      </c>
      <c r="G10" s="29" t="s">
        <v>5</v>
      </c>
    </row>
    <row r="11" spans="1:7" x14ac:dyDescent="0.25">
      <c r="C11" s="29" t="s">
        <v>13</v>
      </c>
      <c r="D11" s="29" t="s">
        <v>409</v>
      </c>
      <c r="E11" s="29" t="s">
        <v>408</v>
      </c>
    </row>
  </sheetData>
  <sheetProtection algorithmName="SHA-512" hashValue="97PijUAi0GRDj2Jw+h3omHPfVynRu6g++gL06tzuoZ/5UIsFDyCbbx5vvh7nMgg2ITvR9A344zm45VUqoh0Syg==" saltValue="fKseeCjn89Zte4ozc04ddQ=="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7af8f2-fbc4-41af-9f9a-4605eb1f1fa6">
      <Terms xmlns="http://schemas.microsoft.com/office/infopath/2007/PartnerControls"/>
    </lcf76f155ced4ddcb4097134ff3c332f>
    <TaxCatchAll xmlns="662745e8-e224-48e8-a2e3-254862b8c2f5">
      <Value>10</Value>
      <Value>9</Value>
      <Value>8</Value>
      <Value>7</Value>
      <Value>6</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Publication reports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Evidence Team</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A438448AE9241943A7F1AB8475784030" ma:contentTypeVersion="30" ma:contentTypeDescription="Create a new document." ma:contentTypeScope="" ma:versionID="348e2a5418d9ff8847c1ea841d11fe4d">
  <xsd:schema xmlns:xsd="http://www.w3.org/2001/XMLSchema" xmlns:xs="http://www.w3.org/2001/XMLSchema" xmlns:p="http://schemas.microsoft.com/office/2006/metadata/properties" xmlns:ns2="662745e8-e224-48e8-a2e3-254862b8c2f5" xmlns:ns3="d67af8f2-fbc4-41af-9f9a-4605eb1f1fa6" targetNamespace="http://schemas.microsoft.com/office/2006/metadata/properties" ma:root="true" ma:fieldsID="817aa9dde30daf2a18047a0796a7b430" ns2:_="" ns3:_="">
    <xsd:import namespace="662745e8-e224-48e8-a2e3-254862b8c2f5"/>
    <xsd:import namespace="d67af8f2-fbc4-41af-9f9a-4605eb1f1fa6"/>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lcf76f155ced4ddcb4097134ff3c332f" minOccurs="0"/>
                <xsd:element ref="ns3:MediaServiceOCR" minOccurs="0"/>
                <xsd:element ref="ns3:MediaServiceGenerationTime" minOccurs="0"/>
                <xsd:element ref="ns3:MediaServiceEventHashCode"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aa3be5d-ffc1-4445-bb26-10ad87a17aea}" ma:internalName="TaxCatchAll" ma:showField="CatchAllData" ma:web="1ac017bc-69fd-4f4c-97cc-d9bef9a2da8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aa3be5d-ffc1-4445-bb26-10ad87a17aea}" ma:internalName="TaxCatchAllLabel" ma:readOnly="true" ma:showField="CatchAllDataLabel" ma:web="1ac017bc-69fd-4f4c-97cc-d9bef9a2da84">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Evidence Team" ma:internalName="Team">
      <xsd:simpleType>
        <xsd:restriction base="dms:Text"/>
      </xsd:simpleType>
    </xsd:element>
    <xsd:element name="Topic" ma:index="20" nillable="true" ma:displayName="Topic" ma:default="Publication report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7af8f2-fbc4-41af-9f9a-4605eb1f1fa6"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dexed="true" ma:internalName="MediaServiceDateTaken"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Props1.xml><?xml version="1.0" encoding="utf-8"?>
<ds:datastoreItem xmlns:ds="http://schemas.openxmlformats.org/officeDocument/2006/customXml" ds:itemID="{3A5A0E89-CD70-43EF-B96D-9D311AE265F8}">
  <ds:schemaRefs>
    <ds:schemaRef ds:uri="http://schemas.microsoft.com/office/2006/metadata/properties"/>
    <ds:schemaRef ds:uri="http://purl.org/dc/terms/"/>
    <ds:schemaRef ds:uri="http://schemas.microsoft.com/office/infopath/2007/PartnerControls"/>
    <ds:schemaRef ds:uri="http://purl.org/dc/elements/1.1/"/>
    <ds:schemaRef ds:uri="http://schemas.microsoft.com/office/2006/documentManagement/types"/>
    <ds:schemaRef ds:uri="1e0d35f5-299f-4691-981b-d555d328920f"/>
    <ds:schemaRef ds:uri="http://schemas.openxmlformats.org/package/2006/metadata/core-properties"/>
    <ds:schemaRef ds:uri="5a0d983d-c967-4eae-a8a0-f5f0a2f6d035"/>
    <ds:schemaRef ds:uri="http://www.w3.org/XML/1998/namespace"/>
    <ds:schemaRef ds:uri="http://purl.org/dc/dcmitype/"/>
  </ds:schemaRefs>
</ds:datastoreItem>
</file>

<file path=customXml/itemProps2.xml><?xml version="1.0" encoding="utf-8"?>
<ds:datastoreItem xmlns:ds="http://schemas.openxmlformats.org/officeDocument/2006/customXml" ds:itemID="{C044F4C0-42A1-4FE5-9C10-2ECBCF601411}">
  <ds:schemaRefs>
    <ds:schemaRef ds:uri="http://schemas.microsoft.com/sharepoint/v3/contenttype/forms"/>
  </ds:schemaRefs>
</ds:datastoreItem>
</file>

<file path=customXml/itemProps3.xml><?xml version="1.0" encoding="utf-8"?>
<ds:datastoreItem xmlns:ds="http://schemas.openxmlformats.org/officeDocument/2006/customXml" ds:itemID="{5A5AD306-06EE-46CF-A8D1-A9CBE8B4CE5D}"/>
</file>

<file path=customXml/itemProps4.xml><?xml version="1.0" encoding="utf-8"?>
<ds:datastoreItem xmlns:ds="http://schemas.openxmlformats.org/officeDocument/2006/customXml" ds:itemID="{9819A9D2-4BE9-4BEA-8CA8-2A0B525FC04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Conservation grazing tool</vt:lpstr>
      <vt:lpstr>Habitat carbon storage</vt:lpstr>
      <vt:lpstr>Comparing Tiers 1 and 2</vt:lpstr>
      <vt:lpstr>Enteric methane</vt:lpstr>
      <vt:lpstr>Manure methane</vt:lpstr>
      <vt:lpstr>N calculations</vt:lpstr>
      <vt:lpstr>Habitat carbon storage calcs</vt:lpstr>
      <vt:lpstr>GHG Factors</vt:lpstr>
      <vt:lpstr>Livestock assumptions</vt:lpstr>
      <vt:lpstr>Livestock factors - IPCC</vt:lpstr>
      <vt:lpstr>Habitat assumptions</vt:lpstr>
      <vt:lpstr>Lists</vt:lpstr>
      <vt:lpstr>Bison</vt:lpstr>
      <vt:lpstr>Cattle</vt:lpstr>
      <vt:lpstr>Equine</vt:lpstr>
      <vt:lpstr>Sheep</vt:lpstr>
      <vt:lpstr>WaterBuffalo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 Manning</dc:creator>
  <cp:lastModifiedBy>Lacey, Paul</cp:lastModifiedBy>
  <dcterms:created xsi:type="dcterms:W3CDTF">2015-06-05T18:17:20Z</dcterms:created>
  <dcterms:modified xsi:type="dcterms:W3CDTF">2024-02-26T17:26:05Z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0x010100A5BF1C78D9F64B679A5EBDE1C6598EBC0100A438448AE9241943A7F1AB8475784030</vt:lpwstr>
  </property>
  <property fmtid="{D5CDD505-2E9C-101B-9397-08002B2CF9AE}" pid="3" name="MediaServiceImageTags">
    <vt:lpwstr/>
  </property>
</Properties>
</file>