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0" yWindow="-615" windowWidth="19440" windowHeight="12990"/>
  </bookViews>
  <sheets>
    <sheet name="All sites" sheetId="1" r:id="rId1"/>
    <sheet name="All data XY plot" sheetId="5" r:id="rId2"/>
    <sheet name="Freq dated records by millenium" sheetId="9" r:id="rId3"/>
    <sheet name="date res v sample res" sheetId="7" r:id="rId4"/>
    <sheet name="All sites- freq data" sheetId="8" r:id="rId5"/>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O765" i="1"/>
  <c r="T765"/>
  <c r="Q765"/>
  <c r="O764"/>
  <c r="T764"/>
  <c r="Q764"/>
  <c r="O763"/>
  <c r="T763"/>
  <c r="Q763"/>
  <c r="O762"/>
  <c r="T762"/>
  <c r="Q762"/>
  <c r="O756"/>
  <c r="T756"/>
  <c r="Q756"/>
  <c r="O754"/>
  <c r="T754"/>
  <c r="Q754"/>
  <c r="O753"/>
  <c r="T753"/>
  <c r="Q753"/>
  <c r="O383"/>
  <c r="Q383"/>
  <c r="T383"/>
  <c r="Q384"/>
  <c r="T384"/>
  <c r="O752"/>
  <c r="T752"/>
  <c r="Q752"/>
  <c r="O751"/>
  <c r="T751"/>
  <c r="Q751"/>
  <c r="O750"/>
  <c r="T750"/>
  <c r="Q750"/>
  <c r="O745"/>
  <c r="T745"/>
  <c r="Q745"/>
  <c r="O708"/>
  <c r="T708"/>
  <c r="Q708"/>
  <c r="O706"/>
  <c r="T706"/>
  <c r="Q706"/>
  <c r="O705"/>
  <c r="T705"/>
  <c r="Q705"/>
  <c r="O703"/>
  <c r="T703"/>
  <c r="Q703"/>
  <c r="O702"/>
  <c r="T702"/>
  <c r="Q702"/>
  <c r="O701"/>
  <c r="T701"/>
  <c r="Q701"/>
  <c r="O700"/>
  <c r="T700"/>
  <c r="Q700"/>
  <c r="O699"/>
  <c r="T699"/>
  <c r="Q699"/>
  <c r="O698"/>
  <c r="T698"/>
  <c r="Q698"/>
  <c r="O697"/>
  <c r="T697"/>
  <c r="Q697"/>
  <c r="O696"/>
  <c r="T696"/>
  <c r="Q696"/>
  <c r="O695"/>
  <c r="T695"/>
  <c r="Q695"/>
  <c r="O694"/>
  <c r="T694"/>
  <c r="Q694"/>
  <c r="O693"/>
  <c r="T693"/>
  <c r="Q693"/>
  <c r="O678"/>
  <c r="T678"/>
  <c r="Q678"/>
  <c r="O677"/>
  <c r="T677"/>
  <c r="Q677"/>
  <c r="O666"/>
  <c r="T666"/>
  <c r="Q666"/>
  <c r="O661"/>
  <c r="T661"/>
  <c r="Q661"/>
  <c r="O660"/>
  <c r="T660"/>
  <c r="Q660"/>
  <c r="O656"/>
  <c r="T656"/>
  <c r="Q656"/>
  <c r="O655"/>
  <c r="T655"/>
  <c r="Q655"/>
  <c r="O654"/>
  <c r="T654"/>
  <c r="Q654"/>
  <c r="O652"/>
  <c r="T652"/>
  <c r="Q652"/>
  <c r="O651"/>
  <c r="T651"/>
  <c r="Q651"/>
  <c r="O647"/>
  <c r="T647"/>
  <c r="Q647"/>
  <c r="O643"/>
  <c r="T643"/>
  <c r="Q643"/>
  <c r="O642"/>
  <c r="T642"/>
  <c r="Q642"/>
  <c r="O640"/>
  <c r="T640"/>
  <c r="Q640"/>
  <c r="O624"/>
  <c r="T624"/>
  <c r="Q624"/>
  <c r="O582"/>
  <c r="T582"/>
  <c r="Q582"/>
  <c r="O581"/>
  <c r="T581"/>
  <c r="Q581"/>
  <c r="O580"/>
  <c r="T580"/>
  <c r="Q580"/>
  <c r="O579"/>
  <c r="T579"/>
  <c r="Q579"/>
  <c r="O578"/>
  <c r="T578"/>
  <c r="Q578"/>
  <c r="O577"/>
  <c r="T577"/>
  <c r="Q577"/>
  <c r="O576"/>
  <c r="T576"/>
  <c r="Q576"/>
  <c r="O575"/>
  <c r="T575"/>
  <c r="Q575"/>
  <c r="O574"/>
  <c r="T574"/>
  <c r="Q574"/>
  <c r="O573"/>
  <c r="T573"/>
  <c r="Q573"/>
  <c r="O572"/>
  <c r="T572"/>
  <c r="Q572"/>
  <c r="O569"/>
  <c r="T569"/>
  <c r="Q569"/>
  <c r="O566"/>
  <c r="T566"/>
  <c r="Q566"/>
  <c r="O564"/>
  <c r="T564"/>
  <c r="Q564"/>
  <c r="O563"/>
  <c r="T563"/>
  <c r="Q563"/>
  <c r="O562"/>
  <c r="T562"/>
  <c r="Q562"/>
  <c r="O559"/>
  <c r="T559"/>
  <c r="Q559"/>
  <c r="O558"/>
  <c r="T558"/>
  <c r="Q558"/>
  <c r="O557"/>
  <c r="T557"/>
  <c r="Q557"/>
  <c r="O556"/>
  <c r="T556"/>
  <c r="Q556"/>
  <c r="O555"/>
  <c r="T555"/>
  <c r="Q555"/>
  <c r="O554"/>
  <c r="T554"/>
  <c r="Q554"/>
  <c r="O553"/>
  <c r="T553"/>
  <c r="Q553"/>
  <c r="O544"/>
  <c r="T544"/>
  <c r="Q544"/>
  <c r="O534"/>
  <c r="T534"/>
  <c r="Q534"/>
  <c r="O533"/>
  <c r="T533"/>
  <c r="Q533"/>
  <c r="O532"/>
  <c r="T532"/>
  <c r="Q532"/>
  <c r="O531"/>
  <c r="T531"/>
  <c r="Q531"/>
  <c r="O528"/>
  <c r="T528"/>
  <c r="Q528"/>
  <c r="O507"/>
  <c r="T507"/>
  <c r="Q507"/>
  <c r="O501"/>
  <c r="T501"/>
  <c r="Q501"/>
  <c r="O498"/>
  <c r="T498"/>
  <c r="Q498"/>
  <c r="O493"/>
  <c r="T493"/>
  <c r="Q493"/>
  <c r="O491"/>
  <c r="T491"/>
  <c r="Q491"/>
  <c r="O489"/>
  <c r="T489"/>
  <c r="Q489"/>
  <c r="O488"/>
  <c r="T488"/>
  <c r="Q488"/>
  <c r="O486"/>
  <c r="T486"/>
  <c r="Q486"/>
  <c r="O483"/>
  <c r="T483"/>
  <c r="Q483"/>
  <c r="O482"/>
  <c r="T482"/>
  <c r="Q482"/>
  <c r="O480"/>
  <c r="T480"/>
  <c r="Q480"/>
  <c r="O475"/>
  <c r="T475"/>
  <c r="Q475"/>
  <c r="O474"/>
  <c r="T474"/>
  <c r="Q474"/>
  <c r="O472"/>
  <c r="T472"/>
  <c r="Q472"/>
  <c r="O470"/>
  <c r="T470"/>
  <c r="Q470"/>
  <c r="O469"/>
  <c r="T469"/>
  <c r="Q469"/>
  <c r="O465"/>
  <c r="T465"/>
  <c r="Q465"/>
  <c r="O447"/>
  <c r="T447"/>
  <c r="Q447"/>
  <c r="O446"/>
  <c r="T446"/>
  <c r="Q446"/>
  <c r="O440"/>
  <c r="T440"/>
  <c r="Q440"/>
  <c r="O439"/>
  <c r="T439"/>
  <c r="Q439"/>
  <c r="O438"/>
  <c r="T438"/>
  <c r="Q438"/>
  <c r="O437"/>
  <c r="T437"/>
  <c r="Q437"/>
  <c r="O436"/>
  <c r="T436"/>
  <c r="Q436"/>
  <c r="O435"/>
  <c r="T435"/>
  <c r="Q435"/>
  <c r="O425"/>
  <c r="T425"/>
  <c r="Q425"/>
  <c r="O424"/>
  <c r="T423"/>
  <c r="Q423"/>
  <c r="O419"/>
  <c r="T419"/>
  <c r="Q419"/>
  <c r="O418"/>
  <c r="T418"/>
  <c r="Q418"/>
  <c r="O415"/>
  <c r="T415"/>
  <c r="Q415"/>
  <c r="O414"/>
  <c r="T414"/>
  <c r="Q414"/>
  <c r="T413"/>
  <c r="Q413"/>
  <c r="O374"/>
  <c r="O373"/>
  <c r="O366"/>
  <c r="O359"/>
  <c r="T359"/>
  <c r="Q359"/>
  <c r="O358"/>
  <c r="O357"/>
  <c r="O332"/>
  <c r="T332"/>
  <c r="Q332"/>
  <c r="O324"/>
  <c r="O318"/>
  <c r="Q318"/>
  <c r="T318"/>
  <c r="O319"/>
  <c r="Q319"/>
  <c r="T319"/>
  <c r="O320"/>
  <c r="Q320"/>
  <c r="T320"/>
  <c r="O316"/>
  <c r="Q316"/>
  <c r="T316"/>
  <c r="O317"/>
  <c r="Q317"/>
  <c r="T317"/>
  <c r="O308"/>
  <c r="Q308"/>
  <c r="T308"/>
  <c r="Q307"/>
  <c r="T307"/>
  <c r="O303"/>
  <c r="O299"/>
  <c r="Q299"/>
  <c r="T299"/>
  <c r="O298"/>
  <c r="Q298"/>
  <c r="T298"/>
  <c r="O297"/>
  <c r="Q297"/>
  <c r="T297"/>
  <c r="Q290"/>
  <c r="T290"/>
  <c r="O243"/>
  <c r="O292"/>
  <c r="O66"/>
  <c r="O65"/>
  <c r="O64"/>
  <c r="O10"/>
  <c r="O171"/>
  <c r="O170"/>
  <c r="O95"/>
  <c r="Q95"/>
  <c r="T95"/>
  <c r="O26"/>
  <c r="O172"/>
  <c r="O173"/>
  <c r="O174"/>
  <c r="O175"/>
  <c r="O178"/>
  <c r="O19"/>
  <c r="O18"/>
  <c r="O136"/>
  <c r="O132"/>
  <c r="O249"/>
  <c r="O250"/>
  <c r="O149"/>
  <c r="O148"/>
  <c r="O147"/>
  <c r="O146"/>
  <c r="O272"/>
  <c r="O131"/>
  <c r="O130"/>
  <c r="O129"/>
  <c r="O126"/>
  <c r="O152"/>
  <c r="O12"/>
  <c r="O11"/>
  <c r="O214"/>
  <c r="O48"/>
  <c r="O284"/>
  <c r="Q284"/>
  <c r="T284"/>
  <c r="O286"/>
  <c r="Q286"/>
  <c r="T286"/>
  <c r="O287"/>
  <c r="Q287"/>
  <c r="T287"/>
  <c r="O288"/>
  <c r="Q288"/>
  <c r="T288"/>
  <c r="O31"/>
  <c r="Q31"/>
  <c r="T31"/>
  <c r="O32"/>
  <c r="Q32"/>
  <c r="T32"/>
  <c r="O35"/>
  <c r="Q35"/>
  <c r="T35"/>
  <c r="Q110"/>
  <c r="T110"/>
  <c r="Q222"/>
  <c r="T222"/>
  <c r="Q223"/>
  <c r="T223"/>
  <c r="O118"/>
  <c r="Q118"/>
  <c r="T118"/>
  <c r="O55"/>
  <c r="Q55"/>
  <c r="T55"/>
  <c r="O139"/>
  <c r="Q139"/>
  <c r="T139"/>
  <c r="O142"/>
  <c r="Q142"/>
  <c r="T142"/>
  <c r="O143"/>
  <c r="Q143"/>
  <c r="T143"/>
  <c r="O144"/>
  <c r="Q144"/>
  <c r="T144"/>
  <c r="O145"/>
  <c r="Q145"/>
  <c r="T145"/>
  <c r="O109"/>
  <c r="Q109"/>
  <c r="T109"/>
  <c r="O268"/>
  <c r="Q268"/>
  <c r="T268"/>
  <c r="O269"/>
  <c r="Q269"/>
  <c r="T269"/>
  <c r="O270"/>
  <c r="Q270"/>
  <c r="T270"/>
  <c r="O271"/>
  <c r="Q271"/>
  <c r="T271"/>
  <c r="O273"/>
  <c r="Q273"/>
  <c r="T273"/>
  <c r="O274"/>
  <c r="Q274"/>
  <c r="T274"/>
  <c r="O291"/>
  <c r="Q291"/>
  <c r="T291"/>
  <c r="O80"/>
  <c r="Q80"/>
  <c r="T80"/>
  <c r="O49"/>
  <c r="Q49"/>
  <c r="T49"/>
  <c r="O50"/>
  <c r="Q50"/>
  <c r="T50"/>
  <c r="O258"/>
  <c r="Q258"/>
  <c r="T258"/>
  <c r="O150"/>
  <c r="Q150"/>
  <c r="T150"/>
  <c r="O151"/>
  <c r="Q151"/>
  <c r="T151"/>
  <c r="O75"/>
  <c r="T75"/>
  <c r="O219"/>
  <c r="Q219"/>
  <c r="O183"/>
  <c r="T183"/>
  <c r="O184"/>
  <c r="T184"/>
  <c r="O186"/>
  <c r="T186"/>
  <c r="O188"/>
  <c r="T188"/>
  <c r="O189"/>
  <c r="T189"/>
  <c r="O190"/>
  <c r="T190"/>
  <c r="O192"/>
  <c r="T192"/>
  <c r="T261"/>
  <c r="T89"/>
  <c r="T152"/>
  <c r="T153"/>
  <c r="T91"/>
  <c r="T137"/>
  <c r="O138"/>
  <c r="T138"/>
  <c r="O163"/>
  <c r="T163"/>
  <c r="O164"/>
  <c r="T164"/>
  <c r="T165"/>
  <c r="T278"/>
  <c r="T117"/>
  <c r="T280"/>
  <c r="T70"/>
  <c r="O262"/>
  <c r="T262"/>
  <c r="O71"/>
  <c r="T71"/>
  <c r="O59"/>
  <c r="T59"/>
  <c r="O60"/>
  <c r="T60"/>
  <c r="O61"/>
  <c r="T61"/>
  <c r="O62"/>
  <c r="T62"/>
  <c r="O106"/>
  <c r="T106"/>
  <c r="O107"/>
  <c r="T107"/>
  <c r="O108"/>
  <c r="T108"/>
  <c r="O42"/>
  <c r="T42"/>
  <c r="O43"/>
  <c r="T43"/>
  <c r="O5"/>
  <c r="T5"/>
  <c r="O6"/>
  <c r="T6"/>
  <c r="O86"/>
  <c r="T86"/>
  <c r="O224"/>
  <c r="T224"/>
  <c r="T44"/>
  <c r="O45"/>
  <c r="T45"/>
  <c r="O72"/>
  <c r="T72"/>
  <c r="O193"/>
  <c r="T193"/>
  <c r="O194"/>
  <c r="T194"/>
  <c r="O195"/>
  <c r="T195"/>
  <c r="O93"/>
  <c r="T93"/>
  <c r="O263"/>
  <c r="T263"/>
  <c r="O73"/>
  <c r="T73"/>
  <c r="O74"/>
  <c r="T74"/>
  <c r="O225"/>
  <c r="T225"/>
  <c r="O94"/>
  <c r="T94"/>
  <c r="O119"/>
  <c r="T119"/>
  <c r="O276"/>
  <c r="T276"/>
  <c r="O231"/>
  <c r="T231"/>
  <c r="O232"/>
  <c r="T232"/>
  <c r="O234"/>
  <c r="T234"/>
  <c r="O27"/>
  <c r="T27"/>
  <c r="T219"/>
  <c r="O67"/>
  <c r="T67"/>
  <c r="O46"/>
  <c r="T46"/>
  <c r="O92"/>
  <c r="T92"/>
  <c r="O76"/>
  <c r="T76"/>
  <c r="O77"/>
  <c r="T77"/>
  <c r="O78"/>
  <c r="T78"/>
  <c r="O259"/>
  <c r="T259"/>
  <c r="T38"/>
  <c r="O39"/>
  <c r="T39"/>
  <c r="T40"/>
  <c r="T41"/>
  <c r="T103"/>
  <c r="T104"/>
  <c r="O105"/>
  <c r="T105"/>
  <c r="O230"/>
  <c r="T230"/>
  <c r="O215"/>
  <c r="T215"/>
  <c r="T216"/>
  <c r="O180"/>
  <c r="T180"/>
  <c r="O181"/>
  <c r="T181"/>
  <c r="O162"/>
  <c r="T162"/>
  <c r="O179"/>
  <c r="T179"/>
  <c r="O69"/>
  <c r="T69"/>
  <c r="Q77"/>
  <c r="Q78"/>
  <c r="Q259"/>
  <c r="Q181"/>
  <c r="Q183"/>
  <c r="Q184"/>
  <c r="Q186"/>
  <c r="Q188"/>
  <c r="Q189"/>
  <c r="Q190"/>
  <c r="Q192"/>
  <c r="Q117"/>
  <c r="Q278"/>
  <c r="Q231"/>
  <c r="Q232"/>
  <c r="Q234"/>
  <c r="Q69"/>
  <c r="Q179"/>
  <c r="Q38"/>
  <c r="Q39"/>
  <c r="Q40"/>
  <c r="Q41"/>
  <c r="Q103"/>
  <c r="Q104"/>
  <c r="Q105"/>
  <c r="Q230"/>
  <c r="Q215"/>
  <c r="Q216"/>
  <c r="Q180"/>
  <c r="Q261"/>
  <c r="Q89"/>
  <c r="Q152"/>
  <c r="Q153"/>
  <c r="Q91"/>
  <c r="Q137"/>
  <c r="Q138"/>
  <c r="Q163"/>
  <c r="Q164"/>
  <c r="Q165"/>
  <c r="Q280"/>
  <c r="Q70"/>
  <c r="Q262"/>
  <c r="Q71"/>
  <c r="Q59"/>
  <c r="Q60"/>
  <c r="Q61"/>
  <c r="Q62"/>
  <c r="Q106"/>
  <c r="Q107"/>
  <c r="Q108"/>
  <c r="Q42"/>
  <c r="Q43"/>
  <c r="Q5"/>
  <c r="Q6"/>
  <c r="Q86"/>
  <c r="Q224"/>
  <c r="Q44"/>
  <c r="Q45"/>
  <c r="Q72"/>
  <c r="Q193"/>
  <c r="Q194"/>
  <c r="Q195"/>
  <c r="Q93"/>
  <c r="Q263"/>
  <c r="Q73"/>
  <c r="Q74"/>
  <c r="Q75"/>
  <c r="Q225"/>
  <c r="Q94"/>
  <c r="Q119"/>
  <c r="Q276"/>
  <c r="Q162"/>
  <c r="Q27"/>
  <c r="Q67"/>
  <c r="Q46"/>
  <c r="Q92"/>
  <c r="Q76"/>
</calcChain>
</file>

<file path=xl/sharedStrings.xml><?xml version="1.0" encoding="utf-8"?>
<sst xmlns="http://schemas.openxmlformats.org/spreadsheetml/2006/main" count="9305" uniqueCount="2592">
  <si>
    <t>Core</t>
  </si>
  <si>
    <t>Holocene sequences and archaeology from the Crabble Paper Mill site, Dover, UK and their regional significance</t>
  </si>
  <si>
    <t>Pollen</t>
  </si>
  <si>
    <t>Title</t>
  </si>
  <si>
    <t>Late Middle Pleistocene deposits at Norton Farm on the West Sussex coastal plain, southern England</t>
  </si>
  <si>
    <t>West Sussex</t>
  </si>
  <si>
    <t>?</t>
  </si>
  <si>
    <t>Holocene environmental changes in the Lower Thames Valley, London, UK: Implications for understanding the history of Taxus woodland</t>
  </si>
  <si>
    <t>Early Holocene pollen and molluscan records from Enfield Lock, Middlesex, UK</t>
  </si>
  <si>
    <t xml:space="preserve">Floodplain environmental change during the Younger Dryas and Holocene in Northwest
Europe: insights from the lower Kennet Valley, south central England. </t>
  </si>
  <si>
    <t>Dartmoor</t>
  </si>
  <si>
    <t>Differences in time and space in vegetation patterning: analysis of pollen data from Dartmoor, UK</t>
  </si>
  <si>
    <t>Exmoor</t>
  </si>
  <si>
    <t>Mid-to late- Holocene vegetation history of Greater Exmoor, UK: estimating the spatial extent of human - induced vegetation change</t>
  </si>
  <si>
    <t>Holocene sediment dynamics in an upland temperate lake catchment: climatic and land-use impacts</t>
  </si>
  <si>
    <t>Devensian Late-glacial environmental change in the Gordano Valley, North Somerset, England: a rare archive for southwest Britain</t>
  </si>
  <si>
    <t>Late Devensian environments in the Vale of Mowbray, North Yorkshire, UK: evidence from palynology</t>
  </si>
  <si>
    <t>Woodland disturbance and possible land-use regimes during the Late Mesolithic in the English uplands: pollen, charcoal and non-pollen palynomorph evidence from Bluewath Beck, North York Moors, UK</t>
  </si>
  <si>
    <t>North York Moors</t>
  </si>
  <si>
    <t>Mid-Holocene charcoal stratigraphy, fire history and palaeoecology at North Gill, North York Moors, UK</t>
  </si>
  <si>
    <t>A high resolution, multiproxy Late-glacial record of climate change and intrasystem responses in northwest England</t>
  </si>
  <si>
    <t>Sedimentology, palaeoecology and geochronology of Last Interglacial deposits from Deeping St James, Lincolnshire, England</t>
  </si>
  <si>
    <t>Lincolnshire</t>
  </si>
  <si>
    <t xml:space="preserve"> Climatic significance of the marginalization of Scots pine (Pinus sylvestris L.) c. 2508 BC at White Moss, south Cheshire, UK </t>
  </si>
  <si>
    <t>Pine pollen in intertidal sediments from Poole Harbour, UK; implications for late-Holocene sediment accretion rates and sea-level rise</t>
  </si>
  <si>
    <t xml:space="preserve"> Holocene sea-level change and coastal evolution in the Humber estuary, eastern England: an assessment of rapid coastal change </t>
  </si>
  <si>
    <t>MID-HOLOCENE AND LATE-HOLOCENE EVOLUTION OF THE DUNGENESS FORELAND, UK</t>
  </si>
  <si>
    <t xml:space="preserve">The disappearance of Sphagnum imbricatum from Butterburn Flow, U.K. </t>
  </si>
  <si>
    <t>Dinoflagellate Cyst</t>
  </si>
  <si>
    <t>Berkshire</t>
  </si>
  <si>
    <t>Integrating palynological and geochemical data in a new approach to palaeoecological studies: Upper Cretaceous of the Banterwick Barn Chalk borehole, Berkshire, UK</t>
  </si>
  <si>
    <t>Norfolk</t>
  </si>
  <si>
    <t>Diatom</t>
  </si>
  <si>
    <t>A pollen analytical record for hemp retting from Dungeness Foreland, UK</t>
  </si>
  <si>
    <t xml:space="preserve"> Holocene pollen assemblages from coastal wetlands: differentiating natural and anthropogenic causes of change in the Thames estuary, UK </t>
  </si>
  <si>
    <t>Environmental and sea-level changes in London from 10 500 BP to the present: a case study from Silvertown</t>
  </si>
  <si>
    <t>The mid-Holocene Ulmus decline at Diss Mere, Norfolk, UK: a year-by-year pollen stratigraphy from annual laminations</t>
  </si>
  <si>
    <t>Flandrian vegetational history of southeastern England. Pollen data from Pannel Bridge, East Sussex</t>
  </si>
  <si>
    <t>ID</t>
  </si>
  <si>
    <t>Trench 2</t>
  </si>
  <si>
    <t>P</t>
  </si>
  <si>
    <t>holocene + pollen + uk palaeo* + refug* + uk palaeoecolog* + climat* change + uk glacial ref* uk       Refined by: Topic=(england) WOS</t>
  </si>
  <si>
    <t>WoS</t>
  </si>
  <si>
    <t>na</t>
  </si>
  <si>
    <t>Pollen, Coleoptera, and macros</t>
  </si>
  <si>
    <t>Column B</t>
  </si>
  <si>
    <t>Enfield Lock</t>
  </si>
  <si>
    <t>SU56356632</t>
  </si>
  <si>
    <t>MM#A</t>
  </si>
  <si>
    <t>MM#B</t>
  </si>
  <si>
    <t>SU56136594</t>
  </si>
  <si>
    <t>P/L</t>
  </si>
  <si>
    <t>SX59928275</t>
  </si>
  <si>
    <t>Cut Hill</t>
  </si>
  <si>
    <t>SX61778573</t>
  </si>
  <si>
    <t>Hanging Stone Hill</t>
  </si>
  <si>
    <t>SX61278102</t>
  </si>
  <si>
    <t>Broad Down</t>
  </si>
  <si>
    <t>SX62688213</t>
  </si>
  <si>
    <t>Winney's Down</t>
  </si>
  <si>
    <t>SS81863097</t>
  </si>
  <si>
    <t>Long Breach</t>
  </si>
  <si>
    <t>SS82472969</t>
  </si>
  <si>
    <t>Gourte Mires</t>
  </si>
  <si>
    <t>SS82722968</t>
  </si>
  <si>
    <t>Core 6</t>
  </si>
  <si>
    <t>Core 10</t>
  </si>
  <si>
    <t>BASS 8 Core</t>
  </si>
  <si>
    <t>L</t>
  </si>
  <si>
    <t>GVH17</t>
  </si>
  <si>
    <t>Gordano Valley</t>
  </si>
  <si>
    <t>Mill House 1</t>
  </si>
  <si>
    <t>The Flasks 69</t>
  </si>
  <si>
    <t>NZ735008</t>
  </si>
  <si>
    <t>&gt;300 m OD</t>
  </si>
  <si>
    <t>Bluewath Beck Head</t>
  </si>
  <si>
    <t>North Gill</t>
  </si>
  <si>
    <t>NZ726007</t>
  </si>
  <si>
    <t>Pollen and Charcoal</t>
  </si>
  <si>
    <t>??</t>
  </si>
  <si>
    <t>Hawes Water</t>
  </si>
  <si>
    <t>River Welland</t>
  </si>
  <si>
    <t>White Moss</t>
  </si>
  <si>
    <t>6 III</t>
  </si>
  <si>
    <t>Ashton Keynes</t>
  </si>
  <si>
    <t>RF8</t>
  </si>
  <si>
    <t>The fluvial system response to abrupt climate change during the last cold stage: the Upper Pleistocene River Thames fluvial succession at Ashton Keynes, UK</t>
  </si>
  <si>
    <t>Poole Harbour</t>
  </si>
  <si>
    <t>Arne 5</t>
  </si>
  <si>
    <t>W20</t>
  </si>
  <si>
    <t>Wickmaryholm Pit</t>
  </si>
  <si>
    <t>Walton Moss</t>
  </si>
  <si>
    <t>Butterburn Flow</t>
  </si>
  <si>
    <t>Core 1</t>
  </si>
  <si>
    <t>Chalk</t>
  </si>
  <si>
    <t xml:space="preserve">Core 1 </t>
  </si>
  <si>
    <t>Ferry Lane</t>
  </si>
  <si>
    <t>Tank Hill Road</t>
  </si>
  <si>
    <t>BH8 (4-8cm intervals)</t>
  </si>
  <si>
    <t>UK palaeoecolog*</t>
  </si>
  <si>
    <t>Google Scholar</t>
  </si>
  <si>
    <t>Late Mesolithic environmental change at Black Heath, south Pennines, UK: a test of Mesolithic woodland management models using pollen, charcoal and non-pollen palynomorph data</t>
  </si>
  <si>
    <t>Monolith 1 (10mm contiguous samples)</t>
  </si>
  <si>
    <t>Black Heath</t>
  </si>
  <si>
    <t>Barrow Moor</t>
  </si>
  <si>
    <t>Church Moor</t>
  </si>
  <si>
    <t>Gritnam Bog</t>
  </si>
  <si>
    <t>Middlesex</t>
  </si>
  <si>
    <t>Somerset</t>
  </si>
  <si>
    <t>Cumbria</t>
  </si>
  <si>
    <t>Dorset</t>
  </si>
  <si>
    <t>Kent</t>
  </si>
  <si>
    <t>Hampshire</t>
  </si>
  <si>
    <t>Conserving idealized landscapes: past history, public perception and future management in the New Forest (UK)</t>
  </si>
  <si>
    <t>Wilden Marsh</t>
  </si>
  <si>
    <t>Worcestershire</t>
  </si>
  <si>
    <t>The palaeoecology of Alnus (alder) and the Postglacial history of floodplain vegetation. Pollen percentage and influx data from the West Midlands, United Kingdom</t>
  </si>
  <si>
    <t>HWD</t>
  </si>
  <si>
    <t>East Sussex</t>
  </si>
  <si>
    <t>Pannel Bridge</t>
  </si>
  <si>
    <t>Hole 19</t>
  </si>
  <si>
    <t>Pollen and Macros</t>
  </si>
  <si>
    <t>UK palaeo* + pollen</t>
  </si>
  <si>
    <t>Pollen, Forams &amp; Ostracods</t>
  </si>
  <si>
    <t>Northumberland</t>
  </si>
  <si>
    <t>Holocene coastal change and geoarchaeology at Howick, Northumberland, UK</t>
  </si>
  <si>
    <t>Archer Moss</t>
  </si>
  <si>
    <t>England palaeo* + pollen</t>
  </si>
  <si>
    <t>King's Pool</t>
  </si>
  <si>
    <t>Cores B &amp; C</t>
  </si>
  <si>
    <t>The palynological record of the King's Pool, Stafford, England</t>
  </si>
  <si>
    <t>Sandholme Lodge</t>
  </si>
  <si>
    <t>Core 5</t>
  </si>
  <si>
    <t>Core 24</t>
  </si>
  <si>
    <t>East Clough</t>
  </si>
  <si>
    <t>Barrow Haven</t>
  </si>
  <si>
    <t>Union Dock</t>
  </si>
  <si>
    <t>Kilnsea Warren</t>
  </si>
  <si>
    <t>Newton Marsh</t>
  </si>
  <si>
    <t>Pollen + Diatom</t>
  </si>
  <si>
    <t>TQ365985</t>
  </si>
  <si>
    <t>Hornchurch Marshes</t>
  </si>
  <si>
    <t>Site D2</t>
  </si>
  <si>
    <t>Site Q</t>
  </si>
  <si>
    <t>Plant Macro and mollusc</t>
  </si>
  <si>
    <t>Reference</t>
  </si>
  <si>
    <t>Bates, M. R., Barham, A. J., Jones, S., Parfitt, K., Parfitt, S., Pedley, M., ... &amp; Whittaker, J. E. (2008). Holocene sequences and archaeology from the Crabble Paper Mill site, Dover, UK and their regional significance. Proceedings of the Geologists' Association, 119(3), 299-327.</t>
  </si>
  <si>
    <t>Bates, M. R., Bates, C. R., Gibbard, P. L., Macphail, R. I., Owen, F. J., Parfitt, S. A., ... &amp; Wilkinson, K. N. (2000). Late Middle Pleistocene deposits at Norton Farm on the West Sussex coastal plain, southern England. Journal of Quaternary Science, 15(1), 61-89.</t>
  </si>
  <si>
    <t>Chambers, F. M., Mighall, T. M., &amp; Keen, D. H. (1996). Early Holocene pollen and molluscan records from Enfield Lock, Middlesex, UK. Proceedings of the Geologists' Association, 107(1), 1-14.</t>
  </si>
  <si>
    <t>Collins, P. E., Worsley, P., Keith-Lucas, D. M., &amp; Fenwick, I. M. (2006). Floodplain environmental change during the Younger Dryas and Holocene in Northwest Europe: Insights from the lower Kennet Valley, south central England. Palaeogeography, Palaeoclimatology, Palaeoecology, 233(1), 113-133.</t>
  </si>
  <si>
    <t>Fyfe, R. M., &amp; Woodbridge, J. (2012). Differences in time and space in vegetation patterning: analysis of pollen data from Dartmoor, UK. Landscape ecology, 1-16.</t>
  </si>
  <si>
    <t>Fyfe, R. M., Brown, A. G., &amp; Rippon, S. J. (2003). Mid-to late-Holocene vegetation history of Greater Exmoor, UK: estimating the spatial extent of human-induced vegetation change. Vegetation History and Archaeobotany, 12(4), 215-232.</t>
  </si>
  <si>
    <t>Jones, R. T., Marshall, J. D., Crowley, S. F., Bedford, A., Richardson, N., Bloemendal, J., &amp; Oldfield, F. (2002). A high resolution, multiproxy Late‐glacial record of climate change and intrasystem responses in northwest England. Journal of Quaternary Science, 17(4), 329-340.</t>
  </si>
  <si>
    <t>Lageard, J. G., Chambers, F. M., &amp; Thomas, P. A. (1999). Climatic significance of the marginalization of Scots pine (Pinus sylvestris L.) c. 2500 BC at White Moss, south Cheshire, UK. The Holocene, 9(3), 321-331.</t>
  </si>
  <si>
    <t>Lewis, S. G., Maddy, D., &amp; Scaife, R. G. (2001). The fluvial system response to abrupt climate change during the last cold stage: the Upper Pleistocene River Thames fluvial succession at Ashton Keynes, UK. Global and Planetary Change, 28(1), 341-359.</t>
  </si>
  <si>
    <t>Long, A. J., Scaife, R. G., &amp; Edwards, R. J. (1999). Pine pollen in intertidal sediments from Poole Harbour, UK; implications for late-Holocene sediment accretion rates and sea-level rise. Quaternary International, 55(1), 3-16.</t>
  </si>
  <si>
    <t>McClymont, E. L., Mauquoy, D., Yeloff, D., Broekens, P., van Geel, B., Charman, D. J., ... &amp; Evershed, R. P. (2008). The disappearance of Sphagnum imbricatum from Butterburn Flow, UK. The Holocene, 18(6), 991-1002.</t>
  </si>
  <si>
    <t>Pearce, M. A., Jarvis, I., Swan, A. R., Murphy, A. M., Tocher, B. A., &amp; Edmunds, W. M. (2003). Integrating palynological and geochemical data in a new approach to palaeoecological studies: Upper Cretaceous of the Banterwick Barn Chalk borehole, Berkshire, UK. Marine Micropaleontology, 47(3), 271-306.</t>
  </si>
  <si>
    <t>Schofield, J. E., &amp; Waller, M. P. (2005). A pollen analytical record for hemp retting from Dungeness Foreland, UK. Journal of archaeological science, 32(5), 715-726.</t>
  </si>
  <si>
    <t>Waller, M., &amp; Grant, M. J. (2012). Holocene pollen assemblages from coastal wetlands: differentiating natural and anthropogenic causes of change in the Thames estuary, UK. Journal of Quaternary Science.</t>
  </si>
  <si>
    <t>Wilkinson, K. N., Scaife, R. G., &amp; Jane Sidell, E. (2000). Environmental and sea-level changes in London from 10 500 BP to the present: a case study from Silvertown. Proceedings of the Geologists' Association, 111(1), 41-54.</t>
  </si>
  <si>
    <t>Grant, M. J., &amp; Edwards, M. E. (2008). Conserving idealized landscapes: past history, public perception and future management in the New Forest (UK). Vegetation History and Archaeobotany, 17(5), 551-562.</t>
  </si>
  <si>
    <t>Brown, A. G. (1988). The palaeoecology of Alnus (alder) and the Postglacial history of floodplain vegetation. Pollen percentage and influx data from the West Midlands, United Kingdom. New phytologist, 110(3), 425-436.</t>
  </si>
  <si>
    <t>Waller, M. P. (1993). Flandrian vegetational history of southeastern England. Pollen data from Pannel Bridge, East Sussex. New phytologist, 124(2), 345-369.</t>
  </si>
  <si>
    <t>Boomer, I., Waddington, C., Stevenson, T., &amp; Hamilton, D. (2007). Holocene coastal change and geoarchaeology at Howick, Northumberland, UK. The Holocene, 17(1), 89-104.</t>
  </si>
  <si>
    <t>Bartley, D. D., &amp; Morgan, A. V. (1990). The palynological record of the King's Pool, Stafford, England. New phytologist, 116(1), 177-194.</t>
  </si>
  <si>
    <t>Valley Bog</t>
  </si>
  <si>
    <t>Teesdale</t>
  </si>
  <si>
    <t>Fox Earth Gill</t>
  </si>
  <si>
    <t>Pennines</t>
  </si>
  <si>
    <t>Conservation in Upper Teesdale: Contributions from the Palaeoecological Record</t>
  </si>
  <si>
    <t>Teesdale Pollen Palaeo*</t>
  </si>
  <si>
    <t>Mire Holes</t>
  </si>
  <si>
    <t>Squires, R. (1978). Conservation in Upper Teesdale: contributions from the palaeoecological record. Transactions of the Institute of British Geographers, 129-150.</t>
  </si>
  <si>
    <t>Bolton Fell Moss</t>
  </si>
  <si>
    <t>Raeburn Flow</t>
  </si>
  <si>
    <t>Coom Rigg Moss</t>
  </si>
  <si>
    <t>Felecia Moss</t>
  </si>
  <si>
    <t>Evidence for climatic deteriorations associated with the decline of Sphagnum imbricatum Hornsch. ex Russ. in six ombrotrophic mires from northern England and the Scottish Borders</t>
  </si>
  <si>
    <t>Mauquoy, D., &amp; Barber, K. (1999). Evidence for climatic deteriorations associated with the decline of Sphagnum imbricatum Hornsch. ex Russ. in six ombrotrophic mires from northern England and the Scottish Borders. The Holocene, 9(4), 423-437.</t>
  </si>
  <si>
    <t>Cumbria Pollen Palaeo*</t>
  </si>
  <si>
    <t>BFA</t>
  </si>
  <si>
    <t>BFB</t>
  </si>
  <si>
    <t>Pollen and Testate Amoebae</t>
  </si>
  <si>
    <t>High-resolution peatland water-table changes for the past 200 years: the influence of climate and implications for management</t>
  </si>
  <si>
    <t>Hendon, D., &amp; Charman, D. J. (2004). High-resolution peatland water-table changes for the past 200 years: the influence of climate and implications for management. The Holocene, 14(1), 125-134.</t>
  </si>
  <si>
    <t>Willow Garth</t>
  </si>
  <si>
    <t>Castleshaw Moor</t>
  </si>
  <si>
    <t>Some palaeoenvironmental evidence for marginality in the Upper Mersey Basin</t>
  </si>
  <si>
    <t>Pennines Pollen Palaeo*</t>
  </si>
  <si>
    <t>Brayshay, B. (1999). Some palaeoenvironmental evidence for marginality in the Upper Mersey Basin. Archaeology North West, 3, 82-89.</t>
  </si>
  <si>
    <t>Brede Bridge</t>
  </si>
  <si>
    <t>TQ829175</t>
  </si>
  <si>
    <t>Hole 53</t>
  </si>
  <si>
    <t>Flandrian vegetational history of sout‐heastern England. Stratigraphy of the Brede valley and pollen data from Brede Bridge</t>
  </si>
  <si>
    <t>Add Mat from 51</t>
  </si>
  <si>
    <t>Waller, M. P., &amp; Marlow, A. D. (1994). Flandrian vegetational history of sout‐heastern England. Stratigraphy of the Brede valley and pollen data from Brede Bridge. New phytologist, 126(2), 369-392.</t>
  </si>
  <si>
    <t>Hockham Mere</t>
  </si>
  <si>
    <t>TL933937</t>
  </si>
  <si>
    <t>DEVENSIAN LATE-GLACIAL AND FLANDRIAN VEGETATIONAL HISTORY AT HOCKHAM MERE, NORFOLK, ENGLAND</t>
  </si>
  <si>
    <t>SS88391592</t>
  </si>
  <si>
    <t>Hares Down</t>
  </si>
  <si>
    <t>Lobbs Bog</t>
  </si>
  <si>
    <t>Windmill Rough</t>
  </si>
  <si>
    <t>SS86102026</t>
  </si>
  <si>
    <t>SS85462074</t>
  </si>
  <si>
    <t>Middle North Combe</t>
  </si>
  <si>
    <t>Devon</t>
  </si>
  <si>
    <t>Characterising the late prehistoric, ‘Romano-British’ and medieval landscape, and dating the emergence of a regionally distinct agricultural system in South West Britain</t>
  </si>
  <si>
    <t>Fyfe, R. M., Brown, A. G., &amp; Rippon, S. J. (2004). Characterising the late prehistoric,‘Romano-British’and medieval landscape, and dating the emergence of a regionally distinct agricultural system in South West Britain. Journal of archaeological science, 31(12), 1699-1714.</t>
  </si>
  <si>
    <t>Comerslade</t>
  </si>
  <si>
    <t>North Twitchen Springs</t>
  </si>
  <si>
    <t>Moles Chamber</t>
  </si>
  <si>
    <t>SS738372</t>
  </si>
  <si>
    <t>SS723369</t>
  </si>
  <si>
    <t>SS718393</t>
  </si>
  <si>
    <t>Bronze Age landscape dynamics: spatially detailed pollen analysis from a ceremonial complex</t>
  </si>
  <si>
    <t>Fyfe, R. M. (2012). Bronze Age landscape dynamics: spatially detailed pollen analysis from a ceremonial complex. Journal of Archaeological Science.</t>
  </si>
  <si>
    <t>SX655 860</t>
  </si>
  <si>
    <t>Stonetor Brook East</t>
  </si>
  <si>
    <t>SBE2</t>
  </si>
  <si>
    <t>SBE3</t>
  </si>
  <si>
    <t>Historical context and chronology of Bronze Age land enclosure on Dartmoor, UK</t>
  </si>
  <si>
    <t>Fyfe, R. M., Brück, J., Johnston, R., Lewis, H., Roland, T. P., &amp; Wickstead, H. (2008). Historical context and chronology of Bronze Age land enclosure on Dartmoor, UK. Journal of Archaeological Science, 35(8), 2250-2261.</t>
  </si>
  <si>
    <t>Rough Tor South</t>
  </si>
  <si>
    <t>East Moor</t>
  </si>
  <si>
    <t>Palaeoecological evidence for the prehistoric settlement of Bodmin moor, Cornwall, Southwest England. Part I: The status of woodland and early human impacts</t>
  </si>
  <si>
    <t>Gearey, B. R., Charman, D. J., &amp; Kent, M. (2000). Palaeoecological evidence for the prehistoric settlement of Bodmin moor, Cornwall, Southwest England. Part I: The status of woodland and early human impacts. Journal of archaeological science, 27(5), 423-438.</t>
  </si>
  <si>
    <t>C5b</t>
  </si>
  <si>
    <t>Whalley</t>
  </si>
  <si>
    <t>Fluvial development and the sediment regime of the lower Calder, Ribble catchment, northwest England</t>
  </si>
  <si>
    <t>Foster, G. C., Chiverrell, R. C., Thomas, G. S. P., Marshall, P., &amp; Hamilton, D. (2009). Fluvial development and the sediment regime of the lower Calder, Ribble catchment, northwest England. Catena, 77(2), 81-95.</t>
  </si>
  <si>
    <t>Diss Mere</t>
  </si>
  <si>
    <t>norfolk Pollen Palaeo*</t>
  </si>
  <si>
    <t>Neasham Fen</t>
  </si>
  <si>
    <t>Bishop Middleham</t>
  </si>
  <si>
    <t>Hutton Henry</t>
  </si>
  <si>
    <t>p</t>
  </si>
  <si>
    <t>Thorpe Bulmer</t>
  </si>
  <si>
    <t>From 60</t>
  </si>
  <si>
    <t>The Bog, Roos</t>
  </si>
  <si>
    <t>Durham</t>
  </si>
  <si>
    <t>Pollen Diagrams from Holderness, North Humberside</t>
  </si>
  <si>
    <t>Beckett, S. C. (1981). Pollen diagrams from Holderness, north Humberside. Journal of Biogeography, 177-198.</t>
  </si>
  <si>
    <t>Crose Mere</t>
  </si>
  <si>
    <t>The late Devensian and Flandrian vegetational history of Crose Mere, Shropshire</t>
  </si>
  <si>
    <t>Beales, P. W. (1980). The late Devensian and Flandrian vegetational history of Crose Mere, Shropshire. New Phytologist, 133-161.</t>
  </si>
  <si>
    <t>A radio-carbon dated pollen diagram from Valley Bog, on the Moor House National Nature Reserve</t>
  </si>
  <si>
    <t>Chambers, C. (1978). A RADIOCARBON‐DATED POLLEN DIAGRAM FROM VALLEY BOG, ON THE MOOR HOUSE NATIONAL NATURE RESERVE. New Phytologist, 80(1), 273-280.</t>
  </si>
  <si>
    <t>From Chris</t>
  </si>
  <si>
    <t>Quick Moss</t>
  </si>
  <si>
    <t>Litho-, Humic- and Pollen Stratigraphy at Quick Moss, Northumberland</t>
  </si>
  <si>
    <t>From 64</t>
  </si>
  <si>
    <t>Rowell, T. K., &amp; Turner, J. (1985). Litho-, humic-and pollen stratigraphy at Quick Moss, Northumberland. The Journal of Ecology, 11-25.</t>
  </si>
  <si>
    <t>(From 64) Turner and Hodgson 1981 Pow Hill</t>
  </si>
  <si>
    <t>The Mere, Stow Bedon</t>
  </si>
  <si>
    <t>SB</t>
  </si>
  <si>
    <t>COMPETITIVE INTERACTIONS AMONG FOREST TREE POPULATIONS IN NORFOLK, ENGLAND, DURING THE LAST 10000 YEARS</t>
  </si>
  <si>
    <t>Bennett, K. D. (2006). Competitive interactions among forest tree populations in Norfolk, England, during the last 10000 years. New Phytologist, 103(3), 603-620.</t>
  </si>
  <si>
    <t>(From 64) Competitive interactions among forest tree populations in Norfolk, England</t>
  </si>
  <si>
    <t>Blacklane Brook</t>
  </si>
  <si>
    <t>M1</t>
  </si>
  <si>
    <t>A further pollen analytical study of the Blacklane peat section on Dartmoor, England</t>
  </si>
  <si>
    <t>Simmons, I. G., Rand, J. I., &amp; Crabtree, K. (1983). A further pollen analytical study of the Blacklane peat section on Dartmoor, England. New phytologist, 94(4), 655-667.</t>
  </si>
  <si>
    <t>Lateglacial/early Flandrian vegetation change on northern Dartmoor, south-west England</t>
  </si>
  <si>
    <t>(From 64) Shaugh Moor Beckett, 1981</t>
  </si>
  <si>
    <t>Caseldine, C. J., &amp; Maguire, D. J. (1986). Lateglacial/early Flandrian vegetation change on northern Dartmoor, south-west England. Journal of Biogeography, 255-264.</t>
  </si>
  <si>
    <t>SX579842</t>
  </si>
  <si>
    <t>Black Ridge Brook</t>
  </si>
  <si>
    <t>BRB</t>
  </si>
  <si>
    <t>Blea Tarn</t>
  </si>
  <si>
    <t>VEGETATION HISTORY IN THE NORTH-WEST OF ENGLAND : A REGIONAL SYNTHESIS</t>
  </si>
  <si>
    <t>TR29984311</t>
  </si>
  <si>
    <t>SU925063</t>
  </si>
  <si>
    <t>TQ5110082400</t>
  </si>
  <si>
    <t>SE27458410</t>
  </si>
  <si>
    <t>SE28458080</t>
  </si>
  <si>
    <t>TF185081</t>
  </si>
  <si>
    <t>TF185082</t>
  </si>
  <si>
    <t>SJ775500</t>
  </si>
  <si>
    <t>SU057934</t>
  </si>
  <si>
    <t>SY982879</t>
  </si>
  <si>
    <t>SE83903210</t>
  </si>
  <si>
    <t>SE83903213</t>
  </si>
  <si>
    <t>SE97402475</t>
  </si>
  <si>
    <t>TA06022307</t>
  </si>
  <si>
    <t>TA27351065</t>
  </si>
  <si>
    <t>TA42301470</t>
  </si>
  <si>
    <t>TA33200325</t>
  </si>
  <si>
    <t>TR03421722</t>
  </si>
  <si>
    <t>SU51347750</t>
  </si>
  <si>
    <t>TQ88221523</t>
  </si>
  <si>
    <t>NU258164</t>
  </si>
  <si>
    <t>SJ926 234</t>
  </si>
  <si>
    <t>NY763331</t>
  </si>
  <si>
    <t>NY692796</t>
  </si>
  <si>
    <t>NY721777</t>
  </si>
  <si>
    <t>SS84712113</t>
  </si>
  <si>
    <t>TA274288</t>
  </si>
  <si>
    <t>NY852422</t>
  </si>
  <si>
    <t>TL950963</t>
  </si>
  <si>
    <t>SX627686</t>
  </si>
  <si>
    <t>NY2930704405</t>
  </si>
  <si>
    <t>SD4770676631</t>
  </si>
  <si>
    <t>NY6817976657</t>
  </si>
  <si>
    <t>TQ5247081571</t>
  </si>
  <si>
    <t>TQ5522379354</t>
  </si>
  <si>
    <t>TQ4006880481</t>
  </si>
  <si>
    <t>SE0214713356</t>
  </si>
  <si>
    <t>SO8476674935</t>
  </si>
  <si>
    <t>NY8396628351</t>
  </si>
  <si>
    <t>NY8503626492</t>
  </si>
  <si>
    <t>SX1427080246</t>
  </si>
  <si>
    <t>SX2422477915</t>
  </si>
  <si>
    <t>SD7210236185</t>
  </si>
  <si>
    <t>TM1161079822</t>
  </si>
  <si>
    <t>Area</t>
  </si>
  <si>
    <t>SU251076</t>
  </si>
  <si>
    <t>SU198029</t>
  </si>
  <si>
    <t>SU2831905926</t>
  </si>
  <si>
    <t>Lake
Bassenthwaite</t>
  </si>
  <si>
    <t>NY 2146829358</t>
  </si>
  <si>
    <t>ST 4420872921</t>
  </si>
  <si>
    <t>Banterwick Barn Borehole</t>
  </si>
  <si>
    <t>Muddymore Pit, Dungeness</t>
  </si>
  <si>
    <t>Silvertown</t>
  </si>
  <si>
    <t>Howick</t>
  </si>
  <si>
    <t>SE00451150</t>
  </si>
  <si>
    <t>Featherbed Moss</t>
  </si>
  <si>
    <t>FT1</t>
  </si>
  <si>
    <t>SR3a</t>
  </si>
  <si>
    <t>Featherbed Top</t>
  </si>
  <si>
    <t>Salvin Ridge</t>
  </si>
  <si>
    <t>SK091921</t>
  </si>
  <si>
    <t>SK096921</t>
  </si>
  <si>
    <t>Mass Movement and Erosion of a Southern Pennine Blanket Peat</t>
  </si>
  <si>
    <t>From H (from Chris)</t>
  </si>
  <si>
    <t>Tallis, J. H. (1985). Mass movement and erosion of a southern Pennine blanket peat. The Journal of Ecology, 283-315.</t>
  </si>
  <si>
    <t>SK091928</t>
  </si>
  <si>
    <t>Studies on Southern Pennine Peats: VI. A Radiocarbon-Dated Pollen Diagram from Featherbed Moss, Derbyshire</t>
  </si>
  <si>
    <t>Tallis, J. H., &amp; Switsur, V. R. (1973). Studies on Southern Pennine Peats: VI. A Radiocarbon-Dated Pollen Diagram from Featherbed Moss, Derbyshire. The Journal of Ecology, 743-751.</t>
  </si>
  <si>
    <t>RH2</t>
  </si>
  <si>
    <t>RH3</t>
  </si>
  <si>
    <t>VYB</t>
  </si>
  <si>
    <t>A Record of Atmospheric Pollution and Vegetation Change as Recorded in Three Peat Bogs from the Northern Pennines Pb-Zn Orefield</t>
  </si>
  <si>
    <t>Mighall, T., Dumayne-Peaty, L., &amp; Cranstone, D. (2004). A Record of Atmospheric Pollution and Vegetation Change as Recorded in Three Peat Bogs from the Northern Pennines Pb-Zn Orefield. Environmental Archaeology, 9(1), 13-38.</t>
  </si>
  <si>
    <t>TF903018</t>
  </si>
  <si>
    <t>Saham Mere</t>
  </si>
  <si>
    <t>SH</t>
  </si>
  <si>
    <t>Holocene pollen stratigraphy of Centreal East Anglia, England, and Comparison of Pollen Zones Across the British Isles</t>
  </si>
  <si>
    <t>Bennett, K. D. (1988). Holocene pollen stratigraphy of central East Anglia, England, and comparison of pollen zones across the British Isles. New phytologist, 109(2), 237-253.</t>
  </si>
  <si>
    <t>Caburn</t>
  </si>
  <si>
    <t>Vegetation history of the English chalklands:
a mid-Holocene pollen sequence from the
Caburn, East Sussex</t>
  </si>
  <si>
    <t>Waller, M. P., &amp; Hamilton, S. (2000). Vegetation history of the English chalklands: a mid‐Holocene pollen sequence from the Caburn, East Sussex. Journal of Quaternary Science, 15(3), 253-272.</t>
  </si>
  <si>
    <t>Turner, J., Hewetson, V. P., Hibbert, F. A., Lowry, K. H., &amp; Chambers, C. (1973). The history of the vegetation and flora of Widdybank Fell and the Cow Green reservoir basin, Upper Teesdale. Philosophical Transactions of the Royal Society of London. Series B, Biological Sciences, 327-408.</t>
  </si>
  <si>
    <t>Early Mesolithic disturbance: a force on the landscape</t>
  </si>
  <si>
    <t>NY 8794744616</t>
  </si>
  <si>
    <t>NY 8786145379</t>
  </si>
  <si>
    <t>TQ 4441108463</t>
  </si>
  <si>
    <t>Bonfield Gill Head</t>
  </si>
  <si>
    <t>SE598958</t>
  </si>
  <si>
    <t>Late Quaternary Vegetational History of the North York Moors. X. Investigations on East Bilsdale Moor</t>
  </si>
  <si>
    <t>from Innes et al 2011</t>
  </si>
  <si>
    <t>Simmons, I. G., &amp; Innes, J. B. (1988). Late Quaternary Vegetational History of the North York Moors. X. Investigations on East Bilsdale Moor. Journal of Biogeography, 299-324.</t>
  </si>
  <si>
    <t>Wheeldale Gill</t>
  </si>
  <si>
    <t>Late Quaternary vegetational history of the North York Moors. I. Pollen analyses of blanket peats</t>
  </si>
  <si>
    <t>Simmons, I. G., &amp; Cundill, P. R. (1974). Late Quaternary vegetational history of the North York Moors. I. Pollen analyses of blanket peats. Journal of Biogeography, 159-169.</t>
  </si>
  <si>
    <t>SE 853977</t>
  </si>
  <si>
    <t>Fen Bogs</t>
  </si>
  <si>
    <t>Late Quaternary vegetational history of the North York Moors. III. Fen bogs</t>
  </si>
  <si>
    <t>Atherden, M. A. (1976). Late Quaternary vegetational history of the North York Moors. III. Fen bogs. Journal of Biogeography, 115-124.</t>
  </si>
  <si>
    <t>TA 126676</t>
  </si>
  <si>
    <t>Bush, M. B. (1988). Early Mesolithic disturbance: a force on the landscape. Journal of archaeological science, 15(4), 453-462.</t>
  </si>
  <si>
    <t>Ashtead Common</t>
  </si>
  <si>
    <t>Surrey</t>
  </si>
  <si>
    <t>Ashtead Common, the evolution of a cultural landscape: A spatially precise vegetation record for the last 2000 years from southeast England</t>
  </si>
  <si>
    <t>england veg history holocene (Since 2009)</t>
  </si>
  <si>
    <t>Waller, M. (2010). Ashtead Common, the evolution of a cultural landscape: A spatially precise vegetation record for the last 2000 years from southeast England. The Holocene, 20(5), 733-746.</t>
  </si>
  <si>
    <t>TQ882152</t>
  </si>
  <si>
    <t>TQ 883151</t>
  </si>
  <si>
    <t>Pannel Farm</t>
  </si>
  <si>
    <t>TQ 900168</t>
  </si>
  <si>
    <t>Pewis Marsh</t>
  </si>
  <si>
    <t>Pollen and MicroCharcoal</t>
  </si>
  <si>
    <t>Holocene fire histories from the edge of Romney Marsh</t>
  </si>
  <si>
    <t>Grant, M., &amp; Waller, M. (2010). Holocene fire histories from the edge of Romney Marsh.</t>
  </si>
  <si>
    <t>Problems of Mid-Post-Glacial Pollen Zonation in Part of North-West England</t>
  </si>
  <si>
    <t>Silverdale Moss</t>
  </si>
  <si>
    <t>Oldfield, F. (1965). Problems of mid-post-glacial pollen zonation in part of north-west England. The Journal of Ecology, 247-260.</t>
  </si>
  <si>
    <t>From Richard</t>
  </si>
  <si>
    <t>Hatfield Moors</t>
  </si>
  <si>
    <t>Meare Heath</t>
  </si>
  <si>
    <t>Fenemere</t>
  </si>
  <si>
    <t>Shropshire</t>
  </si>
  <si>
    <t>Twigger, S. N., &amp; Haslam, C. J. (1991). Environmental change in Shropshire during the last 13,000 years. Field Studies, 7(4), 743-758.</t>
  </si>
  <si>
    <t>"Chat moss" palaeo* pollen</t>
  </si>
  <si>
    <t>Environmental change in Shropshire during the last 13,000 years</t>
  </si>
  <si>
    <t>Bradfield Woods</t>
  </si>
  <si>
    <t>Suffolk</t>
  </si>
  <si>
    <t>Essex</t>
  </si>
  <si>
    <t>Modern pollen studies from coppiced woodlands and their implications for the detection of woodland management in Holocene pollen records</t>
  </si>
  <si>
    <t>"oxborough wood" palaeo* pollen</t>
  </si>
  <si>
    <t>Waller, M., Grant, M. J., &amp; Bunting, M. J. (2012). Modern pollen studies from coppiced woodlands and their implications for the detection of woodland management in Holocene pollen records. Review of Palaeobotany and Palynology.</t>
  </si>
  <si>
    <t>Long-term development of a cultural landscape: the origins
and dynamics of lowland heathland in southern England</t>
  </si>
  <si>
    <t>Conford</t>
  </si>
  <si>
    <t>Con</t>
  </si>
  <si>
    <t>Hurston Warren</t>
  </si>
  <si>
    <t>SU818333</t>
  </si>
  <si>
    <t>TQ076169</t>
  </si>
  <si>
    <t>Groves, J. A., Waller, M. P., Grant, M. J., &amp; Schofield, J. E. (2012). Long-term development of a cultural landscape: the origins and dynamics of lowland heathland in southern England. Vegetation History and Archaeobotany, 21(6), 453-470.</t>
  </si>
  <si>
    <t>"cothill" palaeo* pollen</t>
  </si>
  <si>
    <t>Abbot's Way</t>
  </si>
  <si>
    <t>AW</t>
  </si>
  <si>
    <t>MH</t>
  </si>
  <si>
    <t>SF</t>
  </si>
  <si>
    <t>"Somerset Levels" palaeo* pollen</t>
  </si>
  <si>
    <t>Marazion Marsh</t>
  </si>
  <si>
    <t>Pollen and Diatom</t>
  </si>
  <si>
    <t>BH2</t>
  </si>
  <si>
    <t>SW513316</t>
  </si>
  <si>
    <t>Cornwall</t>
  </si>
  <si>
    <t>The lithostratigraphy and biostratigraphy of a holocene coastal sediment sequence in Marazion Marsh, west Cornwall, U.K. with reference to relative sea-level movements</t>
  </si>
  <si>
    <t>Healy, M. G. (1995). The lithostratigraphy and biostratigraphy of a Holocene coastal sediment sequence in Marazion Marsh, west Cornwall, UK with reference to relative sea-level movements. Marine geology, 124(1), 237-252.</t>
  </si>
  <si>
    <t>Bole Ings</t>
  </si>
  <si>
    <t>C</t>
  </si>
  <si>
    <t>Awkley Lane</t>
  </si>
  <si>
    <t>ST59328638</t>
  </si>
  <si>
    <t>The Physical Evolution of the North Avon Levels</t>
  </si>
  <si>
    <t>Allen, M. J., &amp; Scaife, R. G. The Physical Evolution of the North Avon Levels.</t>
  </si>
  <si>
    <t>Tor Royal Bog</t>
  </si>
  <si>
    <t>Bronze Age upland settlement decline in southwest England: testing the climate change hypothesis</t>
  </si>
  <si>
    <t>Amesbury, M. J., Charman, D. J., Fyfe, R. M., Langdon, P. G., &amp; West, S. (2008). Bronze Age upland settlement decline in southwest England: testing the climate change hypothesis. Journal of Archaeological Science, 35(1), 87-98.</t>
  </si>
  <si>
    <t>"Bodmin Moor palaeo* pollen</t>
  </si>
  <si>
    <t>Bridge Mill</t>
  </si>
  <si>
    <t>South Farm, Sunk Island</t>
  </si>
  <si>
    <t>HMB8</t>
  </si>
  <si>
    <t>7A</t>
  </si>
  <si>
    <t>NU04074567</t>
  </si>
  <si>
    <t>TA25701760</t>
  </si>
  <si>
    <t>Pollen and Micros</t>
  </si>
  <si>
    <t>Holocene isostasy and relative sea-level changes on the east coast of England</t>
  </si>
  <si>
    <t>Shennan, I., Lambeck, K., Horton, B., Innes, J., Lloyd, J., McArthur, J., &amp; Rutherford, M. (2000). Holocene isostasy and relative sea-level changes on the east coast of England. Geological Society, London, Special Publications, 166(1), 275-298.</t>
  </si>
  <si>
    <t>"English Fenland" palaeo* pollen</t>
  </si>
  <si>
    <t>Little Cheyne Court</t>
  </si>
  <si>
    <t>Wickmaryholme Pit</t>
  </si>
  <si>
    <t>LCC</t>
  </si>
  <si>
    <t>The Holocene vegetation history of the Romney Marsh region</t>
  </si>
  <si>
    <t>Waller, M. (2002). The Holocene vegetation history of the Romney Marsh region.</t>
  </si>
  <si>
    <t>Wood Fen palaeo* pollen</t>
  </si>
  <si>
    <t>HAT4</t>
  </si>
  <si>
    <t>Coleoptera</t>
  </si>
  <si>
    <t>SE 691 050</t>
  </si>
  <si>
    <t>Mire ontogeny, environmental and climatic change inferred from fossil beetle successions from Hatfield Moors, eastern England</t>
  </si>
  <si>
    <t>Whitehouse, N. J. (2004). Mire ontogeny, environmental and climatic change inferred from fossil beetle successions from Hatfield Moors, eastern England. The Holocene, 14(1), 79-93.</t>
  </si>
  <si>
    <t>Meare Heath palaeo* pollen</t>
  </si>
  <si>
    <t>Bennett et al 1990 Fire and man in post-glacial woodlands of Eastern England Journal of Archaeological Science Volume 17, Issue 6, November 1990, Pages 635–642 </t>
  </si>
  <si>
    <t>Bonny AP (1976) Recruitment of pollen to the seston and sediment of some Lake District lakes. J Ecol 64:859–887</t>
  </si>
  <si>
    <t>Bonny AP (1978) The effect of pollen recruitment processes on pollen distribution over the sediment surface of a smalllake in Cumbria. J Ecol 66:385–416</t>
  </si>
  <si>
    <t>Dumayne Peaty L and Barber K (1998) Late Holocene vegetational history, human impact and pollen representativity variations in northern Cumbria, England. Journal of Quaternary Science. Wiley Online Library 13(2): 147–164.</t>
  </si>
  <si>
    <t>Godwin H 1941 Studies of the post-glacial history of British vegetation III Fenland pollen diagrams IV Post-glacial changes of relative land- and sea-level in the English Fenland PHILOSOPHICAL TRANSACTIONS OF THE ROYAL SOCIETY OF LONDON SERIES B-BIOLOGICAL SCIENCES Volume: 230 Pages: 239-303</t>
  </si>
  <si>
    <t>Godwin H and Tallantire PA 1951 STUDIES IN THE POST-GLACIAL HISTORY OF BRITISH VEGETATION .12. HOCKHAM MERE, NORFOLK: JOURNAL OF ECOLOGY Volume: 39 285 – 307.  </t>
  </si>
  <si>
    <t>Godwin, H., Walker, D. &amp; Willis,E. H. 1957 Radiocarbon dating and post-glacial vegeta-tional history: Scaleby Moss. Proc. Roy. Soc. Lond. B. 147, 352-366.</t>
  </si>
  <si>
    <t>Godwin, H. (1968): Studies of the Post-glacial history of British vegetation XV. Organic deposits at Old Buckenham Mere, Norfolk. New Phytol., 67, 95–107. </t>
  </si>
  <si>
    <t>Heawood, R and Huckerby, E 2002 ‘Excavation of a burnt mound at Sparrowmire Farm, Kendal’. Transactions of the Cumberland and Westmorland Antiquarian and Archaeological Society 3rd Series, 2, 29-49</t>
  </si>
  <si>
    <t>Hunt TG.  and H. J. B. Birks 1982 Devensian Late-Glacial Vegetational History at Sea Mere, Norfolk Journal of Biogeography Vol. 9, No. 6, pp. 517-538</t>
  </si>
  <si>
    <t>Oldfield, F. 1970: The ecological history of Blelham Bog, National Nature Reserve. In History of British vegetation – Pennington, W. Geography 55, 122</t>
  </si>
  <si>
    <t>Pearsall WH, Pennington W (1947) The ecological history of the English Lake District. J Ecol 34:137–148</t>
  </si>
  <si>
    <t>Peglar S et al 1989 Vegetation and Land-Use History at Diss, Norfolk, U.K. Journal of Ecology, Vol. 77, No. 1 (Mar., 1989), pp. 203-222</t>
  </si>
  <si>
    <t>Pennington W (1943) Lake sediments: the bottom deposits of the North Basin of Windermere, with special reference to the diatom succession. New Phytol 42:1–27</t>
  </si>
  <si>
    <t>Pennington W (1947) Studies on the post-glacial history of British vegetation VIII. Lake sediments; pollen diagrams from the bottom deposits of the North Basin of Windermere. Philos Trans R Soc Lond B 233:137–175</t>
  </si>
  <si>
    <t>Pennington W (1964) Pollen analyses from the deposits of six upland tarns in the Lake District. Philos Trans R Soc Lond B 248:205–244</t>
  </si>
  <si>
    <t>Devoke Water</t>
  </si>
  <si>
    <t>Goatswater</t>
  </si>
  <si>
    <t>Pennington W (1965) The interpretation of some post-glacial vegetation diversities at different Lake District sites. Proc R Soc Lond B 161:310–323</t>
  </si>
  <si>
    <t>Pennington W (1975a) The effect of Neolithic man on the environment in north-west England: the use of absolute pollen diagrams. In: Evans JG, Limbrey S Cleere H (eds) The effect of man on the landscape: the highland zone. Council for British Archaeology Research Report 11:74–86</t>
  </si>
  <si>
    <t>Pennington W (1978) The impact of man on some English lakes: rates of change. Pol Arch Hydrobiol 25:429–437</t>
  </si>
  <si>
    <t>Pennington W (1991) Palaeolimnology in the English Lakes— some questions and answers over fifty years. Hydrobiologia 214:9–24</t>
  </si>
  <si>
    <t>Pennington W (1996) Limnic sediments and the taphonomy of lateglacial pollen assemblages. Quat Sci Rev 15:510–528 </t>
  </si>
  <si>
    <t>Pennington W (1997) History of the vegetation. In: Halliday G (ed) Flora of Cumbria. University of Lancaster, Lancaster,pp 42–50 </t>
  </si>
  <si>
    <t>Powell, T.G.E., Oldfield, F. and Corcoran, J.X. 1971: Excavations in zone vii peat at Storrs Moss, Lancashire, England, 1965–67. Proceedings of the Prehistoric Society 37, 112–37.</t>
  </si>
  <si>
    <t>TALLANTIRE PA  1953. STUDIES IN THE POST-GLACIAL HISTORY OF BRITISH VEGETATION .13. LOPHAM LITTLE FEN, A LATE-GLACIAL SITE IN CENTRAL EAST ANGLIA: JOURNAL OF ECOLOGY Volume: 41 Issue: 2 Pages: 361-373 </t>
  </si>
  <si>
    <t>Turner, J. &amp; Hodgson, J. (1979). Studies in the Vegetational history of the Northern Pennines I. Variations in the Composition of the early Flandrian forests. Journal of Ecology 67, 629–646.</t>
  </si>
  <si>
    <t>Turner, J. &amp; Hodgson, J. (1981). Studies in the Vegetational History of the Northern Pennines II. An atypical pollen diagram from Pow Hill, Co. Durham. Journal of Ecology 69, 171–188.</t>
  </si>
  <si>
    <t>Turner, J. &amp; Hodgson, J. (1983). Studies in the Vegetational History of the Northern Pennines III. Variations in the Composition of the mid-Flandrian forests. Journal of Ecology 71, 95–119.</t>
  </si>
  <si>
    <t>Walker D (1955) Studies in the Post-Glacial History of British Vegetation. XIV. Skelsmergh Tarn and Kentmere, Westmorland. New Phytologist, Vol. 54, No. 2 (May, 1955), pp. 222-254</t>
  </si>
  <si>
    <t>St Bees</t>
  </si>
  <si>
    <t>Bowness Common</t>
  </si>
  <si>
    <t>Glasson Moss</t>
  </si>
  <si>
    <t>Wimble G, Wells CE and Hodgkinson D (2000) Human impact on mid-and late Holocene vegetation in south Cumbria, UK. Vegetation History and Archaeobotany. Springer 9(1): 17–30.</t>
  </si>
  <si>
    <t>May Moss</t>
  </si>
  <si>
    <t>Simon Howe Moss</t>
  </si>
  <si>
    <t>Gale Field</t>
  </si>
  <si>
    <t>Moss Slack Goathland</t>
  </si>
  <si>
    <t>Atherden (1979) Late Quaternary Vegetational History of the North York Moors VII. Pollen Diagrams from the Eastern-Central Area.</t>
  </si>
  <si>
    <t>Linton Mires</t>
  </si>
  <si>
    <t>Threshfield Moor</t>
  </si>
  <si>
    <t>Eshton Tarn</t>
  </si>
  <si>
    <t>Martons Both</t>
  </si>
  <si>
    <t>Bartley et al. (1990) Studies in the Flandrian Vegetational History of the Craven District of Yorkshire- The Lowlands</t>
  </si>
  <si>
    <t>Sweet track</t>
  </si>
  <si>
    <t>others refs within!</t>
  </si>
  <si>
    <t>Beckett and Hibbert (1979) Vegetational Change and the Influence of Prehistoric Man in the Somerset Levels</t>
  </si>
  <si>
    <t>Bagmere</t>
  </si>
  <si>
    <t>Cheshire</t>
  </si>
  <si>
    <t>Lancashire</t>
  </si>
  <si>
    <t>Chat Moss</t>
  </si>
  <si>
    <t>Birks (1965) Late-Glacial Deposits at Bagmere, Cheshire, and Chat Moss, Lancashire</t>
  </si>
  <si>
    <t>Thompson Common</t>
  </si>
  <si>
    <t>Bugg's Hole</t>
  </si>
  <si>
    <t>Bradshaw (1981) New Fossil Evidence for the Past Cultivation and Processing of Hemp (Cannabis sativa L.) in Eastern England</t>
  </si>
  <si>
    <t>Nottinghamshire</t>
  </si>
  <si>
    <t>Brayshay and Dinnin (1999) Integrated Palaeoecological Evidence for Biodiversity at the Floodplain-Forest Margin</t>
  </si>
  <si>
    <t>SE 876960</t>
  </si>
  <si>
    <t>SE 832005</t>
  </si>
  <si>
    <t>SE 830000</t>
  </si>
  <si>
    <t>SD 986613</t>
  </si>
  <si>
    <t>SD970628</t>
  </si>
  <si>
    <t>SD 792546</t>
  </si>
  <si>
    <t>SD 893518</t>
  </si>
  <si>
    <t>ST 421427</t>
  </si>
  <si>
    <t>ST 444406</t>
  </si>
  <si>
    <t>ST 423404</t>
  </si>
  <si>
    <t>SJ 793643</t>
  </si>
  <si>
    <t>SJ 702961</t>
  </si>
  <si>
    <t>Din Moss</t>
  </si>
  <si>
    <t>NT 805315</t>
  </si>
  <si>
    <t>Hibbert and Switsur (1976) Radiocarbon dating of Flandrian pollen zones in Wales and northern England - New Phytol</t>
  </si>
  <si>
    <t>Fellend Moss</t>
  </si>
  <si>
    <t>Steng Moss</t>
  </si>
  <si>
    <t>Broad Moss</t>
  </si>
  <si>
    <t>Camp Hill Moss</t>
  </si>
  <si>
    <t>Ellerside Moss</t>
  </si>
  <si>
    <t>Urswick Tarn</t>
  </si>
  <si>
    <t>Cambridgeshire</t>
  </si>
  <si>
    <t>Wybunbury Moss</t>
  </si>
  <si>
    <t>SJ697503</t>
  </si>
  <si>
    <t>Green and Pearson (1977) The Ecology of Wybunbury Moss, Cheshire- II. Post-Glacial History and the Formation of the Cheshire Mere and Mire Landscape</t>
  </si>
  <si>
    <t>Sea Mere</t>
  </si>
  <si>
    <t>Green Lane</t>
  </si>
  <si>
    <t>SD 227735</t>
  </si>
  <si>
    <t>Johnson et al. (1972) A Temporary Section Through Late-Devensian Sediments at Green Lane, Dalton- in-Furness, Lancashire</t>
  </si>
  <si>
    <t>Holcroft Moss</t>
  </si>
  <si>
    <t>SJ679933</t>
  </si>
  <si>
    <t>Lindow Moss</t>
  </si>
  <si>
    <t>Danes Moss</t>
  </si>
  <si>
    <t>SJ90507150</t>
  </si>
  <si>
    <t>SJ82508150</t>
  </si>
  <si>
    <t>Walkers Heath Farm</t>
  </si>
  <si>
    <t>SJ87406140</t>
  </si>
  <si>
    <t>Birks 1962</t>
  </si>
  <si>
    <t>Birks 1965</t>
  </si>
  <si>
    <t>Holford Moss</t>
  </si>
  <si>
    <t>SJ71507450</t>
  </si>
  <si>
    <t>Lower Wood Moss</t>
  </si>
  <si>
    <t>SJ78307310</t>
  </si>
  <si>
    <t>Beeston Mosses</t>
  </si>
  <si>
    <t>SJ547580</t>
  </si>
  <si>
    <t>Hatchemere</t>
  </si>
  <si>
    <t>SJ550722</t>
  </si>
  <si>
    <t>Abbots Moss / Masseys Lodge</t>
  </si>
  <si>
    <t>SJ58406960</t>
  </si>
  <si>
    <t>Englesea Basin Mire</t>
  </si>
  <si>
    <t>SJ75405255</t>
  </si>
  <si>
    <t>Bidston Moss</t>
  </si>
  <si>
    <t>SJ285915</t>
  </si>
  <si>
    <t>Innes and Tomlinson 1979</t>
  </si>
  <si>
    <t>Newton Carr, Haylake</t>
  </si>
  <si>
    <t>Park Road, Meols</t>
  </si>
  <si>
    <t>Flea Moss Wood</t>
  </si>
  <si>
    <t>SJ239901</t>
  </si>
  <si>
    <t>SD311027</t>
  </si>
  <si>
    <t>Sniggery Wood</t>
  </si>
  <si>
    <t>SD307015</t>
  </si>
  <si>
    <t>SD342031</t>
  </si>
  <si>
    <t>Knowsley Park Moss</t>
  </si>
  <si>
    <t>SJ455961</t>
  </si>
  <si>
    <t>Simonswood Moss</t>
  </si>
  <si>
    <t>B</t>
  </si>
  <si>
    <t>SJ445996</t>
  </si>
  <si>
    <t>SJ448010</t>
  </si>
  <si>
    <t>Parr moss</t>
  </si>
  <si>
    <t>SJ545940</t>
  </si>
  <si>
    <t>Prescott Moss</t>
  </si>
  <si>
    <t>SJ468929</t>
  </si>
  <si>
    <t>TQ432999</t>
  </si>
  <si>
    <t>Epping forest, adjacent to Lodge road Bog B</t>
  </si>
  <si>
    <t>Baker et al. (1978) Woodland continuity and change in Epping forest.pdf</t>
  </si>
  <si>
    <t>Long</t>
  </si>
  <si>
    <t>Lat</t>
  </si>
  <si>
    <t>Study</t>
  </si>
  <si>
    <t>Full/partial dataset</t>
  </si>
  <si>
    <t>Pollen and testate amoebae</t>
  </si>
  <si>
    <t>NA</t>
  </si>
  <si>
    <t>Partial</t>
  </si>
  <si>
    <t>Full</t>
  </si>
  <si>
    <t>NY 504667</t>
  </si>
  <si>
    <t>NY 490690</t>
  </si>
  <si>
    <t>Rookhope Valley</t>
  </si>
  <si>
    <t>Bennett 1983</t>
  </si>
  <si>
    <t>l</t>
  </si>
  <si>
    <t>Bennett, K. D. (1983). DEVENSIAN LATE‐GLACIAL AND FLANDRIAN VEGETATIONAL HISTORY AT HOCKHAM MERE, NORFOLK, ENGLAND. New phytologist, 95(3), 457-487.</t>
  </si>
  <si>
    <t>Peglar 1993a</t>
  </si>
  <si>
    <t>Peglar, S. M. (1993a). The mid-Holocene Ulmus decline at Diss Mere, Norfolk, UK: a year-by-year pollen stratigraphy from annual laminations. The Holocene, 3(1), 1-13.</t>
  </si>
  <si>
    <t>Bennett 2006</t>
  </si>
  <si>
    <t>Bennett 1988</t>
  </si>
  <si>
    <t>TG037012</t>
  </si>
  <si>
    <t>Waller 2012</t>
  </si>
  <si>
    <t>TL934576</t>
  </si>
  <si>
    <t>TL876279</t>
  </si>
  <si>
    <t>Chalkney Wood</t>
  </si>
  <si>
    <r>
      <t xml:space="preserve">Branch, N. P., Batchelor, C. R., Cameron, N. G., Coope, G. R., Densem, R., Gale, R., ... &amp; Williams, A. N. (2012). Holocene environmental changes in the Lower Thames Valley, London, UK: Implications for understanding the history of Taxus woodland. </t>
    </r>
    <r>
      <rPr>
        <i/>
        <sz val="13"/>
        <color theme="1"/>
        <rFont val="Calibri"/>
        <scheme val="minor"/>
      </rPr>
      <t>The Holocene</t>
    </r>
    <r>
      <rPr>
        <sz val="13"/>
        <color theme="1"/>
        <rFont val="Calibri"/>
        <scheme val="minor"/>
      </rPr>
      <t xml:space="preserve">, </t>
    </r>
    <r>
      <rPr>
        <i/>
        <sz val="13"/>
        <color theme="1"/>
        <rFont val="Calibri"/>
        <scheme val="minor"/>
      </rPr>
      <t>22</t>
    </r>
    <r>
      <rPr>
        <sz val="13"/>
        <color theme="1"/>
        <rFont val="Calibri"/>
        <scheme val="minor"/>
      </rPr>
      <t>(10), 1143-1158.</t>
    </r>
  </si>
  <si>
    <r>
      <t xml:space="preserve">Collins, P. E., Worsley, P., Keith-Lucas, D. M., &amp; Fenwick, I. M. (2006). Floodplain environmental change during the Younger Dryas and Holocene in Northwest Europe: Insights from the lower Kennet Valley, south central England. </t>
    </r>
    <r>
      <rPr>
        <i/>
        <sz val="13"/>
        <color theme="1"/>
        <rFont val="Calibri"/>
        <scheme val="minor"/>
      </rPr>
      <t>Palaeogeography, Palaeoclimatology, Palaeoecology</t>
    </r>
    <r>
      <rPr>
        <sz val="13"/>
        <color theme="1"/>
        <rFont val="Calibri"/>
        <scheme val="minor"/>
      </rPr>
      <t xml:space="preserve">, </t>
    </r>
    <r>
      <rPr>
        <i/>
        <sz val="13"/>
        <color theme="1"/>
        <rFont val="Calibri"/>
        <scheme val="minor"/>
      </rPr>
      <t>233</t>
    </r>
    <r>
      <rPr>
        <sz val="13"/>
        <color theme="1"/>
        <rFont val="Calibri"/>
        <scheme val="minor"/>
      </rPr>
      <t>(1), 113-133.</t>
    </r>
  </si>
  <si>
    <r>
      <t xml:space="preserve">Fyfe, R. M., Brown, A. G., &amp; Rippon, S. J. (2003). Mid-to late-Holocene vegetation history of Greater Exmoor, UK: estimating the spatial extent of human-induced vegetation change. </t>
    </r>
    <r>
      <rPr>
        <i/>
        <sz val="13"/>
        <color theme="1"/>
        <rFont val="Calibri"/>
        <scheme val="minor"/>
      </rPr>
      <t>Vegetation History and Archaeobotany</t>
    </r>
    <r>
      <rPr>
        <sz val="13"/>
        <color theme="1"/>
        <rFont val="Calibri"/>
        <scheme val="minor"/>
      </rPr>
      <t xml:space="preserve">, </t>
    </r>
    <r>
      <rPr>
        <i/>
        <sz val="13"/>
        <color theme="1"/>
        <rFont val="Calibri"/>
        <scheme val="minor"/>
      </rPr>
      <t>12</t>
    </r>
    <r>
      <rPr>
        <sz val="13"/>
        <color theme="1"/>
        <rFont val="Calibri"/>
        <scheme val="minor"/>
      </rPr>
      <t>(4), 215-232.</t>
    </r>
  </si>
  <si>
    <r>
      <t xml:space="preserve">Hill, T. C., Woodland, W. A., Spencer, C. D., Marriott, S. B., Case, D. J., &amp; Catt, J. A. (2008). Devensian Late-glacial environmental change in the Gordano Valley, North Somerset, England: a rare archive for southwest Britain. </t>
    </r>
    <r>
      <rPr>
        <i/>
        <sz val="13"/>
        <color theme="1"/>
        <rFont val="Calibri"/>
        <scheme val="minor"/>
      </rPr>
      <t>Journal of Paleolimnology</t>
    </r>
    <r>
      <rPr>
        <sz val="13"/>
        <color theme="1"/>
        <rFont val="Calibri"/>
        <scheme val="minor"/>
      </rPr>
      <t xml:space="preserve">, </t>
    </r>
    <r>
      <rPr>
        <i/>
        <sz val="13"/>
        <color theme="1"/>
        <rFont val="Calibri"/>
        <scheme val="minor"/>
      </rPr>
      <t>40</t>
    </r>
    <r>
      <rPr>
        <sz val="13"/>
        <color theme="1"/>
        <rFont val="Calibri"/>
        <scheme val="minor"/>
      </rPr>
      <t>(1), 431-444.</t>
    </r>
  </si>
  <si>
    <r>
      <t xml:space="preserve">Innes, J. B., Rutherford, M. M., O’Brien, C. E., Bridgland, D. R., Mitchell, W. A., &amp; Long, A. J. (2009). Late Devensian environments in the Vale of Mowbray, North Yorkshire, UK: evidence from palynology. </t>
    </r>
    <r>
      <rPr>
        <i/>
        <sz val="13"/>
        <color theme="1"/>
        <rFont val="Calibri"/>
        <scheme val="minor"/>
      </rPr>
      <t>Proceedings of the Geologists' Association</t>
    </r>
    <r>
      <rPr>
        <sz val="13"/>
        <color theme="1"/>
        <rFont val="Calibri"/>
        <scheme val="minor"/>
      </rPr>
      <t xml:space="preserve">, </t>
    </r>
    <r>
      <rPr>
        <i/>
        <sz val="13"/>
        <color theme="1"/>
        <rFont val="Calibri"/>
        <scheme val="minor"/>
      </rPr>
      <t>120</t>
    </r>
    <r>
      <rPr>
        <sz val="13"/>
        <color theme="1"/>
        <rFont val="Calibri"/>
        <scheme val="minor"/>
      </rPr>
      <t>(4), 199-208.</t>
    </r>
  </si>
  <si>
    <r>
      <t xml:space="preserve">Innes, J., Blackford, J., &amp; Simmons, I. (2010). Woodland disturbance and possible land-use regimes during the Late Mesolithic in the English uplands: pollen, charcoal and non-pollen palynomorph evidence from Bluewath Beck, North York Moors, UK. </t>
    </r>
    <r>
      <rPr>
        <i/>
        <sz val="13"/>
        <color theme="1"/>
        <rFont val="Calibri"/>
        <scheme val="minor"/>
      </rPr>
      <t>Vegetation history and archaeobotany</t>
    </r>
    <r>
      <rPr>
        <sz val="13"/>
        <color theme="1"/>
        <rFont val="Calibri"/>
        <scheme val="minor"/>
      </rPr>
      <t xml:space="preserve">, </t>
    </r>
    <r>
      <rPr>
        <i/>
        <sz val="13"/>
        <color theme="1"/>
        <rFont val="Calibri"/>
        <scheme val="minor"/>
      </rPr>
      <t>19</t>
    </r>
    <r>
      <rPr>
        <sz val="13"/>
        <color theme="1"/>
        <rFont val="Calibri"/>
        <scheme val="minor"/>
      </rPr>
      <t>(5), 439-452.</t>
    </r>
  </si>
  <si>
    <r>
      <t xml:space="preserve">Innes, J. B., &amp; Simmons, I. G. (2000). Mid-Holocene charcoal stratigraphy, fire history and palaeoecology at North Gill, North York Moors, UK. </t>
    </r>
    <r>
      <rPr>
        <i/>
        <sz val="13"/>
        <color theme="1"/>
        <rFont val="Calibri"/>
        <scheme val="minor"/>
      </rPr>
      <t>Palaeogeography, Palaeoclimatology, Palaeoecology</t>
    </r>
    <r>
      <rPr>
        <sz val="13"/>
        <color theme="1"/>
        <rFont val="Calibri"/>
        <scheme val="minor"/>
      </rPr>
      <t xml:space="preserve">, </t>
    </r>
    <r>
      <rPr>
        <i/>
        <sz val="13"/>
        <color theme="1"/>
        <rFont val="Calibri"/>
        <scheme val="minor"/>
      </rPr>
      <t>164</t>
    </r>
    <r>
      <rPr>
        <sz val="13"/>
        <color theme="1"/>
        <rFont val="Calibri"/>
        <scheme val="minor"/>
      </rPr>
      <t>(1), 151-165.</t>
    </r>
  </si>
  <si>
    <r>
      <t xml:space="preserve">Keen, D. H., Bateman, M. D., Coope, G. R., Field, M. H., Langford, H. E., Merry, J. S., &amp; Mighall, T. M. (1999). Sedimentology, palaeoecology and geochronology of last interglacial deposits from Deeping St James, Lincolnshire, England. </t>
    </r>
    <r>
      <rPr>
        <i/>
        <sz val="13"/>
        <color theme="1"/>
        <rFont val="Calibri"/>
        <scheme val="minor"/>
      </rPr>
      <t>Journal of Quaternary Science</t>
    </r>
    <r>
      <rPr>
        <sz val="13"/>
        <color theme="1"/>
        <rFont val="Calibri"/>
        <scheme val="minor"/>
      </rPr>
      <t xml:space="preserve">, </t>
    </r>
    <r>
      <rPr>
        <i/>
        <sz val="13"/>
        <color theme="1"/>
        <rFont val="Calibri"/>
        <scheme val="minor"/>
      </rPr>
      <t>14</t>
    </r>
    <r>
      <rPr>
        <sz val="13"/>
        <color theme="1"/>
        <rFont val="Calibri"/>
        <scheme val="minor"/>
      </rPr>
      <t>(5), 411-436.</t>
    </r>
  </si>
  <si>
    <r>
      <t xml:space="preserve">Long, A. J., Innes, J. B., Kirby, J. R., Lloyd, J. M., Rutherford, M. M., Shennan, I., &amp; Tooley, M. J. (1998). Holocene sea-level change and coastal evolution in the Humber estuary, eastern England: an assessment of rapid coastal change. </t>
    </r>
    <r>
      <rPr>
        <i/>
        <sz val="13"/>
        <color theme="1"/>
        <rFont val="Calibri"/>
        <scheme val="minor"/>
      </rPr>
      <t>The Holocene</t>
    </r>
    <r>
      <rPr>
        <sz val="13"/>
        <color theme="1"/>
        <rFont val="Calibri"/>
        <scheme val="minor"/>
      </rPr>
      <t xml:space="preserve">, </t>
    </r>
    <r>
      <rPr>
        <i/>
        <sz val="13"/>
        <color theme="1"/>
        <rFont val="Calibri"/>
        <scheme val="minor"/>
      </rPr>
      <t>8</t>
    </r>
    <r>
      <rPr>
        <sz val="13"/>
        <color theme="1"/>
        <rFont val="Calibri"/>
        <scheme val="minor"/>
      </rPr>
      <t>(2), 229-247.</t>
    </r>
  </si>
  <si>
    <r>
      <t xml:space="preserve">Long, A. J., &amp; Hughes, P. D. M. (1995). Mid-and late-Holocene evolution of the Dungeness foreland, UK. </t>
    </r>
    <r>
      <rPr>
        <i/>
        <sz val="13"/>
        <color theme="1"/>
        <rFont val="Calibri"/>
        <scheme val="minor"/>
      </rPr>
      <t>Marine geology</t>
    </r>
    <r>
      <rPr>
        <sz val="13"/>
        <color theme="1"/>
        <rFont val="Calibri"/>
        <scheme val="minor"/>
      </rPr>
      <t xml:space="preserve">, </t>
    </r>
    <r>
      <rPr>
        <i/>
        <sz val="13"/>
        <color theme="1"/>
        <rFont val="Calibri"/>
        <scheme val="minor"/>
      </rPr>
      <t>124</t>
    </r>
    <r>
      <rPr>
        <sz val="13"/>
        <color theme="1"/>
        <rFont val="Calibri"/>
        <scheme val="minor"/>
      </rPr>
      <t>(1), 253-271.</t>
    </r>
  </si>
  <si>
    <r>
      <t xml:space="preserve">Waller, M., &amp; Grant, M. J. (2012). Holocene pollen assemblages from coastal wetlands: differentiating natural and anthropogenic causes of change in the Thames estuary, UK. </t>
    </r>
    <r>
      <rPr>
        <i/>
        <sz val="13"/>
        <color theme="1"/>
        <rFont val="Calibri"/>
        <scheme val="minor"/>
      </rPr>
      <t>Journal of Quaternary Science</t>
    </r>
    <r>
      <rPr>
        <sz val="13"/>
        <color theme="1"/>
        <rFont val="Calibri"/>
        <scheme val="minor"/>
      </rPr>
      <t>.</t>
    </r>
  </si>
  <si>
    <r>
      <t xml:space="preserve">Ryan, P. A., &amp; Blackford, J. J. (2010). Late Mesolithic environmental change at Black Heath, south Pennines, UK: a test of Mesolithic woodland management models using pollen, charcoal and non-pollen palynomorph data. </t>
    </r>
    <r>
      <rPr>
        <i/>
        <sz val="13"/>
        <color theme="1"/>
        <rFont val="Calibri"/>
        <scheme val="minor"/>
      </rPr>
      <t>Vegetation history and archaeobotany</t>
    </r>
    <r>
      <rPr>
        <sz val="13"/>
        <color theme="1"/>
        <rFont val="Calibri"/>
        <scheme val="minor"/>
      </rPr>
      <t xml:space="preserve">, </t>
    </r>
    <r>
      <rPr>
        <i/>
        <sz val="13"/>
        <color theme="1"/>
        <rFont val="Calibri"/>
        <scheme val="minor"/>
      </rPr>
      <t>19</t>
    </r>
    <r>
      <rPr>
        <sz val="13"/>
        <color theme="1"/>
        <rFont val="Calibri"/>
        <scheme val="minor"/>
      </rPr>
      <t>(5), 545-558.</t>
    </r>
  </si>
  <si>
    <r>
      <t xml:space="preserve">Grant, M. J., &amp; Edwards, M. E. (2008). Conserving idealized landscapes: past history, public perception and future management in the New Forest (UK). </t>
    </r>
    <r>
      <rPr>
        <i/>
        <sz val="13"/>
        <color theme="1"/>
        <rFont val="Calibri"/>
        <scheme val="minor"/>
      </rPr>
      <t>Vegetation History and Archaeobotany</t>
    </r>
    <r>
      <rPr>
        <sz val="13"/>
        <color theme="1"/>
        <rFont val="Calibri"/>
        <scheme val="minor"/>
      </rPr>
      <t xml:space="preserve">, </t>
    </r>
    <r>
      <rPr>
        <i/>
        <sz val="13"/>
        <color theme="1"/>
        <rFont val="Calibri"/>
        <scheme val="minor"/>
      </rPr>
      <t>17</t>
    </r>
    <r>
      <rPr>
        <sz val="13"/>
        <color theme="1"/>
        <rFont val="Calibri"/>
        <scheme val="minor"/>
      </rPr>
      <t>(5), 551-562.</t>
    </r>
  </si>
  <si>
    <t>Atherden 1979</t>
  </si>
  <si>
    <t xml:space="preserve"> Late Quaternary Vegetational History of the North York Moors VII. Pollen Diagrams from the Eastern-Central Area</t>
  </si>
  <si>
    <t>Bartley 1990</t>
  </si>
  <si>
    <t>LM</t>
  </si>
  <si>
    <t>TH</t>
  </si>
  <si>
    <t>ET</t>
  </si>
  <si>
    <t>ETM</t>
  </si>
  <si>
    <t>MB</t>
  </si>
  <si>
    <t>Eshton Tarn M</t>
  </si>
  <si>
    <t>White Moss 1</t>
  </si>
  <si>
    <t>White Moss 6</t>
  </si>
  <si>
    <t>WM1</t>
  </si>
  <si>
    <t>WM6</t>
  </si>
  <si>
    <t>Total pollen excluding aquatics and spores</t>
  </si>
  <si>
    <t>Studies in the Flandrian Vegetational History of the Craven District of Yorkshire- The Lowlands</t>
  </si>
  <si>
    <t>Vegetational Change and the Influence of Prehistoric Man in the Somerset Levels</t>
  </si>
  <si>
    <t xml:space="preserve"> Late-Glacial Deposits at Bagmere, Cheshire, and Chat Moss, Lancashire</t>
  </si>
  <si>
    <t>Beckett 1979</t>
  </si>
  <si>
    <t>TL934967</t>
  </si>
  <si>
    <t>TM 005792</t>
  </si>
  <si>
    <t>Pollen and coleoptera</t>
  </si>
  <si>
    <t>300 terrestrisal</t>
  </si>
  <si>
    <t>New Fossil Evidence for the Past Cultivation and Processing of Hemp (Cannabis sativa L.) in Eastern England</t>
  </si>
  <si>
    <t>Integrated Palaeoecological Evidence for Biodiversity at the Floodplain-Forest Margin</t>
  </si>
  <si>
    <t>SE 834978</t>
  </si>
  <si>
    <t>SD 918576</t>
  </si>
  <si>
    <t>SK 805875</t>
  </si>
  <si>
    <t>Radiocarbon dating of Flandrian pollen zones in Wales and northern England</t>
  </si>
  <si>
    <t>The Ecology of Wybunbury Moss</t>
  </si>
  <si>
    <t xml:space="preserve"> Cheshire- II. Post-Glacial History and the Formation of the Cheshire Mere and Mire Landscape</t>
  </si>
  <si>
    <t>A Temporary Section Through Late-Devensian Sediments at Green Lane</t>
  </si>
  <si>
    <t xml:space="preserve"> Dalton- in-Furness</t>
  </si>
  <si>
    <t xml:space="preserve"> Lancashire</t>
  </si>
  <si>
    <t>Tadcaster</t>
  </si>
  <si>
    <t>Woodland continuity and change in Epping forest</t>
  </si>
  <si>
    <t>SE 48335 43140</t>
  </si>
  <si>
    <t xml:space="preserve">Bartley (1962) The stratigraphy and pollen analysis of lake deposits near Tadcaster, Yorkshire. </t>
  </si>
  <si>
    <t>Rishworth Moor</t>
  </si>
  <si>
    <t>SD988173</t>
  </si>
  <si>
    <t xml:space="preserve">The stratigraphy and pollen analysis of lake deposits near Tadcaster, Yorkshire. </t>
  </si>
  <si>
    <t>Bartley (1975) Pollen analytical evidence for prehistroic forest clearance in the upland area west of Rishworth, West Yorkshire</t>
  </si>
  <si>
    <t>Pollen analytical evidence for prehistroic forest clearance in the upland area west of Rishworth, West Yorkshire</t>
  </si>
  <si>
    <t>Beckett (1979) Pollen influx in peat deposits- values from raised bogs in the Somerset levels, South-Western England</t>
  </si>
  <si>
    <t>Burtree Lane</t>
  </si>
  <si>
    <t>Romaldkirk</t>
  </si>
  <si>
    <t>NZ268189</t>
  </si>
  <si>
    <t>150 AP</t>
  </si>
  <si>
    <t>Floor of Bristol Channel</t>
  </si>
  <si>
    <t>CC1</t>
  </si>
  <si>
    <t>Brown (1977) An Early Flandrian Vegetational Record from the Floor of the Bristol Channel</t>
  </si>
  <si>
    <t>An Early Flandrian Vegetational Record from the Floor of the Bristol Channel</t>
  </si>
  <si>
    <t>SS 65163 70755</t>
  </si>
  <si>
    <t>Parsons Park, Bodmin</t>
  </si>
  <si>
    <t>Land pollen</t>
  </si>
  <si>
    <t>SX195708</t>
  </si>
  <si>
    <t>Hawks Tor</t>
  </si>
  <si>
    <t>SX152747</t>
  </si>
  <si>
    <t>Mon3</t>
  </si>
  <si>
    <t>Mon1</t>
  </si>
  <si>
    <t>Mon2</t>
  </si>
  <si>
    <t>SX152748</t>
  </si>
  <si>
    <t>SX152749</t>
  </si>
  <si>
    <t>Brown 1977. Late-Devensian and Flandrian vegetational history of Bodmin moor, Cornwall</t>
  </si>
  <si>
    <t xml:space="preserve"> Late-Devensian and Flandrian vegetational history of Bodmin moor, Cornwall</t>
  </si>
  <si>
    <t>Mon4</t>
  </si>
  <si>
    <t>SX152750</t>
  </si>
  <si>
    <t>Dozmary Pool</t>
  </si>
  <si>
    <t>SX192744</t>
  </si>
  <si>
    <t>Cores C and D</t>
  </si>
  <si>
    <t>Ripple Brook</t>
  </si>
  <si>
    <t>Core 21</t>
  </si>
  <si>
    <t>Pollen and diatom</t>
  </si>
  <si>
    <t>300 land</t>
  </si>
  <si>
    <t>SO 89810 39078</t>
  </si>
  <si>
    <t>Brown and Barber 1985 Late Holocene palaeoecology and sedimentary history of a small lowland catchment in Central England</t>
  </si>
  <si>
    <t>Late Holocene palaeoecology and sedimentary history of a small lowland catchment in Central England</t>
  </si>
  <si>
    <t>Cothill</t>
  </si>
  <si>
    <t>150 tree</t>
  </si>
  <si>
    <t>SU 46439 99800</t>
  </si>
  <si>
    <t>Clapham and Clapham (1939) The Valley Fen at Cothill, Berkshire. Data for the Study of Post-Glacial History. II</t>
  </si>
  <si>
    <t>The Valley Fen at Cothill, Berkshire. Data for the Study of Post-Glacial History. II</t>
  </si>
  <si>
    <t>Shapwick Heath</t>
  </si>
  <si>
    <t>Decoy Pool Wood</t>
  </si>
  <si>
    <t>150 land</t>
  </si>
  <si>
    <t>Clapham and Godwin 1948 Studies in the Post-Glacial History of British Vegetation. VIII. Swamping Surfaces in Peats of the Somerset Levels. IX. Prehistoric Trackways in the Somerset Levels</t>
  </si>
  <si>
    <t>Studies in the Post-Glacial History of British Vegetation. VIII. Swamping Surfaces in Peats of the Somerset Levels. IX. Prehistoric Trackways in the Somerset Levels</t>
  </si>
  <si>
    <t>Clapham 1948</t>
  </si>
  <si>
    <t>Westhay Trackway</t>
  </si>
  <si>
    <t>ST 417376</t>
  </si>
  <si>
    <t>Connolly et al 1950 Studies in the Post-Glacial History of British Vegetation. XI. Late-Glacial Deposits in Cornwall</t>
  </si>
  <si>
    <t>Dozemare Pool</t>
  </si>
  <si>
    <t>SX 19397 74443</t>
  </si>
  <si>
    <t>Stannon Marsh</t>
  </si>
  <si>
    <t>SX 12990 80360</t>
  </si>
  <si>
    <t>50 tree</t>
  </si>
  <si>
    <t>SX152751</t>
  </si>
  <si>
    <t>range</t>
  </si>
  <si>
    <t>Cothill Fen</t>
  </si>
  <si>
    <t>Sidlings Copse</t>
  </si>
  <si>
    <t>Oxfordshire</t>
  </si>
  <si>
    <t>SU 461998</t>
  </si>
  <si>
    <t>SP 556096</t>
  </si>
  <si>
    <t>Pollen, LOI,mag sus and charcoal</t>
  </si>
  <si>
    <t>Day (1991) Post-glacial vegetational history of the Oxford region</t>
  </si>
  <si>
    <t>Star Carr</t>
  </si>
  <si>
    <t>300-500</t>
  </si>
  <si>
    <t>TA 02915 80974</t>
  </si>
  <si>
    <t>Day 1993 Preliminary results of high-resolution palaeoecological analyses at Star Carr, North Yorkshire</t>
  </si>
  <si>
    <t>Low Hauxley</t>
  </si>
  <si>
    <t>500 land</t>
  </si>
  <si>
    <t>Pollen and LOI</t>
  </si>
  <si>
    <t>NU284019</t>
  </si>
  <si>
    <t>Innes and Frank 1988 Palynological evidence for Late Flandrian coastal changes at Druridge Bay, Northumberland</t>
  </si>
  <si>
    <t>Dishforth Bog</t>
  </si>
  <si>
    <t>North Yorkshire</t>
  </si>
  <si>
    <t>SE 37736 73790</t>
  </si>
  <si>
    <t>Giles 1992 Late Devensian and early Flandrian environments at Dishforth Bog, North Yorkshire</t>
  </si>
  <si>
    <t>400 land</t>
  </si>
  <si>
    <t xml:space="preserve">SU 247072 </t>
  </si>
  <si>
    <t>Grant 2009a The QuaTernary of The SolenT BaSin and WeST SuSSex raiSed BeacheS</t>
  </si>
  <si>
    <t>Cranes Moor</t>
  </si>
  <si>
    <t>SU 190020</t>
  </si>
  <si>
    <t>400 TLP</t>
  </si>
  <si>
    <t>Polle and SCP</t>
  </si>
  <si>
    <t>Grant 2009b Early to mid-Holocene vegetation-fire interactions and responses to climatic change at cranes moor, new forest</t>
  </si>
  <si>
    <t>Whattall Moss</t>
  </si>
  <si>
    <t>Whixall Moss</t>
  </si>
  <si>
    <t>Bettisfield</t>
  </si>
  <si>
    <t>SJ 51609 34499</t>
  </si>
  <si>
    <t>SJ 43283 30944</t>
  </si>
  <si>
    <t>SJ 46271 35152</t>
  </si>
  <si>
    <t>Hardy 1939 Studies of the Post-Glacial History of British Vegetation V. The Shropshire and Flint Maelor Mosses</t>
  </si>
  <si>
    <t>4290±100</t>
  </si>
  <si>
    <t>5940±140</t>
  </si>
  <si>
    <t>1920±80</t>
  </si>
  <si>
    <t>9061±160</t>
  </si>
  <si>
    <t>11069±220</t>
  </si>
  <si>
    <t>13088±300</t>
  </si>
  <si>
    <t>11553±280</t>
  </si>
  <si>
    <t>9053±120</t>
  </si>
  <si>
    <t>6451±65</t>
  </si>
  <si>
    <t>2870±70</t>
  </si>
  <si>
    <t>2340±50</t>
  </si>
  <si>
    <t>9070±110</t>
  </si>
  <si>
    <t>6790±100</t>
  </si>
  <si>
    <t>3820±70</t>
  </si>
  <si>
    <t>855±70</t>
  </si>
  <si>
    <t>9630±100</t>
  </si>
  <si>
    <t>9390±70</t>
  </si>
  <si>
    <t>4720±50</t>
  </si>
  <si>
    <t>2810±40</t>
  </si>
  <si>
    <t>9204±57</t>
  </si>
  <si>
    <t>277±30</t>
  </si>
  <si>
    <t>12250±250</t>
  </si>
  <si>
    <t>5340±70</t>
  </si>
  <si>
    <t>Hertfordshire</t>
  </si>
  <si>
    <t>SE197059</t>
  </si>
  <si>
    <t>Colney Heath</t>
  </si>
  <si>
    <t>Pollen and macrofossils</t>
  </si>
  <si>
    <t>Pearson 1962 THE COLEOPTERA FROM A DETRITUS MUD DEPOSIT OF  FULL-GLACIAL AGE AT COLNEY HEATH, NEAR ST. ALBANS</t>
  </si>
  <si>
    <t>Godwin 1964 Late-Weichselian Conditions in South Eastern Britain- Organic Deposits at Colney Heath, Herts</t>
  </si>
  <si>
    <t>Meare Pool</t>
  </si>
  <si>
    <t>PF2</t>
  </si>
  <si>
    <t>PF7</t>
  </si>
  <si>
    <t>Glastonbury Lake Village</t>
  </si>
  <si>
    <t>Drake's Drove</t>
  </si>
  <si>
    <t>GLV1</t>
  </si>
  <si>
    <t>ST 488399</t>
  </si>
  <si>
    <t>Godwin 1955 tudies of the Post-Glacial History of British Vegetation. XIII. The Meare Pool Region of the Somerset Levels</t>
  </si>
  <si>
    <t>Scar Close</t>
  </si>
  <si>
    <t>SD750775</t>
  </si>
  <si>
    <t>500 total pollen</t>
  </si>
  <si>
    <t xml:space="preserve">Moughton </t>
  </si>
  <si>
    <t>SD792710</t>
  </si>
  <si>
    <t>Howrake Rocks</t>
  </si>
  <si>
    <t>SD775779</t>
  </si>
  <si>
    <t>501 total pollen</t>
  </si>
  <si>
    <t>502 total pollen</t>
  </si>
  <si>
    <t>Gosden (1968) Peat Deposits of Scar Close, Ingleborough, Yorkshire</t>
  </si>
  <si>
    <t>Ringinglow Bog</t>
  </si>
  <si>
    <t>Totley Moss</t>
  </si>
  <si>
    <t>Leash Fen</t>
  </si>
  <si>
    <t>Hipper Sick</t>
  </si>
  <si>
    <t>White Edge</t>
  </si>
  <si>
    <t>Salter Sitch</t>
  </si>
  <si>
    <t>SK29567406</t>
  </si>
  <si>
    <t>SK27927844</t>
  </si>
  <si>
    <t>SK28837841</t>
  </si>
  <si>
    <t>SK26638319</t>
  </si>
  <si>
    <t>SK30516880</t>
  </si>
  <si>
    <t>SK26497747</t>
  </si>
  <si>
    <t>3040±140</t>
  </si>
  <si>
    <t>150 AP / 500 TP</t>
  </si>
  <si>
    <t>2820±110</t>
  </si>
  <si>
    <t>420±90</t>
  </si>
  <si>
    <t>151 AP / 500 TP</t>
  </si>
  <si>
    <t>152 AP / 500 TP</t>
  </si>
  <si>
    <t>149 AP / 500 TP</t>
  </si>
  <si>
    <t>153 AP / 500 TP</t>
  </si>
  <si>
    <t>154 AP / 500 TP</t>
  </si>
  <si>
    <t>4300±150</t>
  </si>
  <si>
    <t>Hicks 1971 Pollen-Analytical Evidence for the Effect of Prehistoric Agriculture on the Vegetation of North Derbyshire</t>
  </si>
  <si>
    <t>Moss Lake</t>
  </si>
  <si>
    <t>SD 318020</t>
  </si>
  <si>
    <t>Godwin 1959 Studies of the Post-Glacial History of British Vegetation. XIV. Late-Glacial Deposits at Moss Lake, Liverpool</t>
  </si>
  <si>
    <t>5879±40</t>
  </si>
  <si>
    <t>6077±62</t>
  </si>
  <si>
    <t>500 TP / 150 AP</t>
  </si>
  <si>
    <t>Total profile is 55 pollen samples (extending beyond 14C chronology)</t>
  </si>
  <si>
    <t>Seamer Carrs</t>
  </si>
  <si>
    <t>NZ 486097</t>
  </si>
  <si>
    <t>200 AP</t>
  </si>
  <si>
    <t>13042±140</t>
  </si>
  <si>
    <t>Jones (1977) Late Quaternary vegetational history of the North York Moors. IV. Seamer Carrs</t>
  </si>
  <si>
    <t>Kildale Hall</t>
  </si>
  <si>
    <t>West House Moss</t>
  </si>
  <si>
    <t>NZ 609097</t>
  </si>
  <si>
    <t>NZ 635095</t>
  </si>
  <si>
    <t>A</t>
  </si>
  <si>
    <t>10350±200</t>
  </si>
  <si>
    <t>6650±290</t>
  </si>
  <si>
    <t>Jones (1977) Late Quaternary vegetational history of the North York Moors. V The Cleveland Dales</t>
  </si>
  <si>
    <t>Ewe Crag Slack</t>
  </si>
  <si>
    <t>NZ 695110</t>
  </si>
  <si>
    <t>Tranmire Slack</t>
  </si>
  <si>
    <t>NZ 766119</t>
  </si>
  <si>
    <t>Jones (1977) Late Quaternary Vegetational History of the North York Moors. VI. The Cleveland Moors</t>
  </si>
  <si>
    <t>Brookland</t>
  </si>
  <si>
    <t>Romney Marsh</t>
  </si>
  <si>
    <t>4367±39</t>
  </si>
  <si>
    <t>1846±51</t>
  </si>
  <si>
    <t>TQ99002572</t>
  </si>
  <si>
    <t>Long et al. (1995) The back-barrier and barrier depositional history of Romney Marsh, Walland Marsh and Dungeness, Kent, England</t>
  </si>
  <si>
    <t>Midley Church Bank</t>
  </si>
  <si>
    <t>300 TLP</t>
  </si>
  <si>
    <t>400 TP</t>
  </si>
  <si>
    <t>3673±82</t>
  </si>
  <si>
    <t>2249±48</t>
  </si>
  <si>
    <t>3054±58</t>
  </si>
  <si>
    <t>2762±49</t>
  </si>
  <si>
    <t>10B</t>
  </si>
  <si>
    <t>2B</t>
  </si>
  <si>
    <t>6B</t>
  </si>
  <si>
    <t>TR02862286</t>
  </si>
  <si>
    <t>TR02622286</t>
  </si>
  <si>
    <t>TR02762263</t>
  </si>
  <si>
    <t>Long 1993 Holocene sea-level changes and coastal sedimentation in Romney Marsh, southeast England, UK</t>
  </si>
  <si>
    <t>Chapel Bank</t>
  </si>
  <si>
    <t>TQ92953015</t>
  </si>
  <si>
    <t>5400±80</t>
  </si>
  <si>
    <t>3390±70</t>
  </si>
  <si>
    <t>Long 1998a Vegetation History of the Lower Rother Valley</t>
  </si>
  <si>
    <t>RM7</t>
  </si>
  <si>
    <t>RM18</t>
  </si>
  <si>
    <t>2290±60</t>
  </si>
  <si>
    <t>4070±70</t>
  </si>
  <si>
    <t>3250±100</t>
  </si>
  <si>
    <t>TR05003392</t>
  </si>
  <si>
    <t>TR05023280</t>
  </si>
  <si>
    <t>2910±70</t>
  </si>
  <si>
    <t>Long 1998b The Holocene depositional History of Romney Marsh proper</t>
  </si>
  <si>
    <t>Rye, Romney Marsh</t>
  </si>
  <si>
    <t>33a</t>
  </si>
  <si>
    <t>5590±70</t>
  </si>
  <si>
    <t>4550±80</t>
  </si>
  <si>
    <t>2980±60</t>
  </si>
  <si>
    <t>1740±60</t>
  </si>
  <si>
    <t>TQ948227</t>
  </si>
  <si>
    <t xml:space="preserve">Long et al. (1996) Holocene coastal sedimentation in the Eastern English Channel- New data from the Romney Marsh region, United Kingdom. </t>
  </si>
  <si>
    <t>The Chains</t>
  </si>
  <si>
    <t>4170±75</t>
  </si>
  <si>
    <t>1500±60</t>
  </si>
  <si>
    <t>SS 732424</t>
  </si>
  <si>
    <t>Merryfield and Moor 1974 Exmoor Nature</t>
  </si>
  <si>
    <t>9480±60</t>
  </si>
  <si>
    <t>TLP 112-322</t>
  </si>
  <si>
    <t>Trench 2, MO2 &amp; MO3</t>
  </si>
  <si>
    <t>Norton Farm</t>
  </si>
  <si>
    <t>Pollen, Molluscs etc</t>
  </si>
  <si>
    <t>3916±228</t>
  </si>
  <si>
    <t>6440±120</t>
  </si>
  <si>
    <t>500 TLP</t>
  </si>
  <si>
    <t>9550±70</t>
  </si>
  <si>
    <t>8290±80</t>
  </si>
  <si>
    <t>Midgham Member</t>
  </si>
  <si>
    <t>150 TLP</t>
  </si>
  <si>
    <t>200 TLP</t>
  </si>
  <si>
    <t>Dated from other sites</t>
  </si>
  <si>
    <t>1358±19</t>
  </si>
  <si>
    <t>468±29</t>
  </si>
  <si>
    <t>7477±28</t>
  </si>
  <si>
    <t>6046±25</t>
  </si>
  <si>
    <t>2058±22</t>
  </si>
  <si>
    <t>6876±25</t>
  </si>
  <si>
    <t>1032±23</t>
  </si>
  <si>
    <t>Ansteys Combe</t>
  </si>
  <si>
    <t>650±60</t>
  </si>
  <si>
    <t>4700±60</t>
  </si>
  <si>
    <t>1020±60</t>
  </si>
  <si>
    <t>3960±60</t>
  </si>
  <si>
    <t>420±60</t>
  </si>
  <si>
    <t>1920±60</t>
  </si>
  <si>
    <t>Dating showed age inversions - oldest age (3830) thought to be contaminated, so next oldest age used in the paper and this spreadsheet</t>
  </si>
  <si>
    <t>47 samples in whole profile (outside dates)</t>
  </si>
  <si>
    <t>48 samples in whoe profile (outside dates)</t>
  </si>
  <si>
    <t>200 TLP (600 TP)</t>
  </si>
  <si>
    <t>14440±620</t>
  </si>
  <si>
    <t>6460±70</t>
  </si>
  <si>
    <t>Mill House, Snape Mires</t>
  </si>
  <si>
    <t>The Flasks, Nosterfield</t>
  </si>
  <si>
    <t>12330±45</t>
  </si>
  <si>
    <t>9580±40</t>
  </si>
  <si>
    <t>9990±45</t>
  </si>
  <si>
    <t>10920±45</t>
  </si>
  <si>
    <t>SD 337389</t>
  </si>
  <si>
    <t>Briarfield Nurseries</t>
  </si>
  <si>
    <t>3070±65</t>
  </si>
  <si>
    <t>2550±55</t>
  </si>
  <si>
    <t>Wells et al. (2000) Evidence for the possible role of beaver (Castor fiber) in the prehistoric ontogenesis of a mire in northwest England, UK</t>
  </si>
  <si>
    <t>Fenton Cottage</t>
  </si>
  <si>
    <t>SD 40354495</t>
  </si>
  <si>
    <t>390±50</t>
  </si>
  <si>
    <t>4860±110</t>
  </si>
  <si>
    <t>Wells et al 1997 Mid-and late-Holocene vegetation history and tephra studies at Fenton Cottage, Lancashire, UK</t>
  </si>
  <si>
    <t>Pollen, LOI and macrofossils</t>
  </si>
  <si>
    <t>1 date rejected as outlier</t>
  </si>
  <si>
    <t>2352±46</t>
  </si>
  <si>
    <t>5378±40</t>
  </si>
  <si>
    <t>3090±30</t>
  </si>
  <si>
    <t>3909±30</t>
  </si>
  <si>
    <t>East Guldeford</t>
  </si>
  <si>
    <t>Peasmarsh</t>
  </si>
  <si>
    <t>3510±50</t>
  </si>
  <si>
    <t>9960±110</t>
  </si>
  <si>
    <t>2670±80</t>
  </si>
  <si>
    <t>376±25</t>
  </si>
  <si>
    <t>4450±40</t>
  </si>
  <si>
    <t>1842±30</t>
  </si>
  <si>
    <t>5970±150</t>
  </si>
  <si>
    <t>3690±70</t>
  </si>
  <si>
    <t>Old Place</t>
  </si>
  <si>
    <t>1830±80</t>
  </si>
  <si>
    <t>3520±30</t>
  </si>
  <si>
    <t>2040±70</t>
  </si>
  <si>
    <t>4647±59</t>
  </si>
  <si>
    <t>2980±90</t>
  </si>
  <si>
    <t>1654±45</t>
  </si>
  <si>
    <t xml:space="preserve">TQ 8830715124 </t>
  </si>
  <si>
    <t xml:space="preserve">TQ 8903023630 </t>
  </si>
  <si>
    <t xml:space="preserve">TQ 9432921937 </t>
  </si>
  <si>
    <t>Sussex</t>
  </si>
  <si>
    <t>Waller et al 2007 Mid to late Holocene vegetation and land use history in the Weald of south-eastern England- multiple pollen profiles from the Rye area</t>
  </si>
  <si>
    <t>5B</t>
  </si>
  <si>
    <t>6735±45</t>
  </si>
  <si>
    <t xml:space="preserve">Simmons Innes 1996 Disturbance Phases in the Mid-Holocene Vegetation at North Gill, North York Moors </t>
  </si>
  <si>
    <t>500 LP</t>
  </si>
  <si>
    <t>4260±90</t>
  </si>
  <si>
    <t>7660±140</t>
  </si>
  <si>
    <t>150 tree, TP=700-1000</t>
  </si>
  <si>
    <t>Simmons and Innes (1988) Late Quaternary Vegetational History of the North York Moors. VIII. Correlation of Flandrian II Litho- and Pollen Stratigraphy at North Gill, Glaisdale Moor</t>
  </si>
  <si>
    <t>1A 695-763cm</t>
  </si>
  <si>
    <t>1A 50-108cm</t>
  </si>
  <si>
    <t>3600±45</t>
  </si>
  <si>
    <t>5105±45</t>
  </si>
  <si>
    <t>Simmons &amp; Innes 1996 The ecology of an episode of prehistoric cereal cultivation on the North York Moors, England</t>
  </si>
  <si>
    <t>Simmons &amp; Innes 1996 An episode of prehistoric canopy manipulation at North Gill, North Yorkshire, England</t>
  </si>
  <si>
    <t>St Helena</t>
  </si>
  <si>
    <t>NZ683038</t>
  </si>
  <si>
    <t>5390±220</t>
  </si>
  <si>
    <t>Blakey Landslip</t>
  </si>
  <si>
    <t>A (1-3m)</t>
  </si>
  <si>
    <t>B (3-6m)</t>
  </si>
  <si>
    <t>Simmons &amp; Cundill 1974 Late Quaternary Vegetational History of the North York Moors. II. Pollen Analyses of Landslip Bogs</t>
  </si>
  <si>
    <t>Horsemarsh Sewer</t>
  </si>
  <si>
    <t>HM-4</t>
  </si>
  <si>
    <t>TQ 982318</t>
  </si>
  <si>
    <t>Tishy's Sewer</t>
  </si>
  <si>
    <t>5500±70</t>
  </si>
  <si>
    <t>5150±70</t>
  </si>
  <si>
    <t>Total number of samples 22</t>
  </si>
  <si>
    <t>TQ995193</t>
  </si>
  <si>
    <t>3410±60</t>
  </si>
  <si>
    <t>3160±60</t>
  </si>
  <si>
    <t>Total number of samples 4</t>
  </si>
  <si>
    <t>Broomhill-1</t>
  </si>
  <si>
    <t>Broomhill-A</t>
  </si>
  <si>
    <t>3520±60</t>
  </si>
  <si>
    <t>3060±60</t>
  </si>
  <si>
    <t>Hallowell Moss</t>
  </si>
  <si>
    <t>Steward Shield Meadow</t>
  </si>
  <si>
    <t>Malham Tarn</t>
  </si>
  <si>
    <t>Pigott and Pigott (1963) Late-Glacial and Post-Glacial Deposits at Malham, Yorkshire</t>
  </si>
  <si>
    <t>Tarn Moss</t>
  </si>
  <si>
    <t>Pigott and Pigott 1959 Stratigraphy and Pollen analysis of Malham Tarn and Tarn Moss</t>
  </si>
  <si>
    <t>Wood Moss</t>
  </si>
  <si>
    <t>Grizedale Tarn</t>
  </si>
  <si>
    <t>Cunswick Tarn</t>
  </si>
  <si>
    <t>Wookey Hole</t>
  </si>
  <si>
    <t>120-260 grans per cm3</t>
  </si>
  <si>
    <t xml:space="preserve">ST 531 473 </t>
  </si>
  <si>
    <t>Macklin 1985 Flood-Plain Sedimentation in the Upper Axe Valley, Mendip, England</t>
  </si>
  <si>
    <t>Wood Fen</t>
  </si>
  <si>
    <t>TL55628433</t>
  </si>
  <si>
    <t>LP12</t>
  </si>
  <si>
    <t>3615±90</t>
  </si>
  <si>
    <t>4 horizons were dated, but at ifferent locations - only 1 in the pollen sequence</t>
  </si>
  <si>
    <t>Wheeler 1992 Vegetational syccession, aidification and allogenic events as recorded in Flandrian peat depositis from an isolated Fenland embayment</t>
  </si>
  <si>
    <t>Gransmoor</t>
  </si>
  <si>
    <t>TA113597</t>
  </si>
  <si>
    <t>11790±45</t>
  </si>
  <si>
    <t>11715±45</t>
  </si>
  <si>
    <t>10 dates taken from 5 samples  but divided into humic and humin components - inconsistent ages.</t>
  </si>
  <si>
    <t>Profile 1</t>
  </si>
  <si>
    <t>Pollen, coleoptera</t>
  </si>
  <si>
    <t>Walker et al 1993 The Devensian (Weichselian) Lateglacial palaeoenvironmental record from Gransmoor, East Yorkshire, England</t>
  </si>
  <si>
    <t>OP80</t>
  </si>
  <si>
    <t>OP40</t>
  </si>
  <si>
    <t>OP150</t>
  </si>
  <si>
    <t>OP500</t>
  </si>
  <si>
    <t>TQ 88051708</t>
  </si>
  <si>
    <t>TQ 88051712</t>
  </si>
  <si>
    <t>TQ 88061719</t>
  </si>
  <si>
    <t>TQ88091783</t>
  </si>
  <si>
    <t>700 TP</t>
  </si>
  <si>
    <t xml:space="preserve">700 TP </t>
  </si>
  <si>
    <t>800 TP</t>
  </si>
  <si>
    <t>Waller (1998) An investigation into the palynological properties of fen peat through multiple pollen profiles from southeastern England</t>
  </si>
  <si>
    <t>5755±45</t>
  </si>
  <si>
    <t>5405±45</t>
  </si>
  <si>
    <t>3645±45</t>
  </si>
  <si>
    <t>4595±45</t>
  </si>
  <si>
    <t>3490±45</t>
  </si>
  <si>
    <t>4625±45</t>
  </si>
  <si>
    <t>5595±45</t>
  </si>
  <si>
    <t>5515±45</t>
  </si>
  <si>
    <t>5210±75</t>
  </si>
  <si>
    <t>5945±90</t>
  </si>
  <si>
    <t>5290±45</t>
  </si>
  <si>
    <t>Turner et al 1993 Spatial diversity in the mid–Flandrian vegetation history of North Gill, North Yorkshire</t>
  </si>
  <si>
    <t>5A</t>
  </si>
  <si>
    <t>6260±45</t>
  </si>
  <si>
    <t>5760±90</t>
  </si>
  <si>
    <t>Turner et al 1989 Two Pollen Diagrams from the Same Site (North Gill)</t>
  </si>
  <si>
    <t xml:space="preserve">Lewes </t>
  </si>
  <si>
    <t>Lewes</t>
  </si>
  <si>
    <t>Lewes II</t>
  </si>
  <si>
    <t>Lewes I</t>
  </si>
  <si>
    <t>TQ 40673 09228</t>
  </si>
  <si>
    <t>250 TLP</t>
  </si>
  <si>
    <t>Thorley 1981. Pollen analytical evidence relating to the vegetation history of the Chalk</t>
  </si>
  <si>
    <t>Monsal Head</t>
  </si>
  <si>
    <t>SK181715</t>
  </si>
  <si>
    <t>Raper Lodge</t>
  </si>
  <si>
    <t>SK213654</t>
  </si>
  <si>
    <t>9220±100</t>
  </si>
  <si>
    <t>5780±90</t>
  </si>
  <si>
    <t>4500±70</t>
  </si>
  <si>
    <t>8520±120</t>
  </si>
  <si>
    <t>250 TP</t>
  </si>
  <si>
    <t>Derbyshire</t>
  </si>
  <si>
    <t>Taylor et al 1994 Radiocarbon-dated Holocene pollen and ostracod sequences from barrage tufa- dammed fluvial systems in the White Peak, Derbyshire, UK</t>
  </si>
  <si>
    <t>Grinds Brook (Kinder Plateau)</t>
  </si>
  <si>
    <t>Snake Pass</t>
  </si>
  <si>
    <t>SK105876</t>
  </si>
  <si>
    <t>SK090928</t>
  </si>
  <si>
    <t>Fozy Moss</t>
  </si>
  <si>
    <t>NY 238603</t>
  </si>
  <si>
    <t>NY 830714</t>
  </si>
  <si>
    <t>135±40</t>
  </si>
  <si>
    <t>2000±40</t>
  </si>
  <si>
    <t>960±40</t>
  </si>
  <si>
    <t>2215±45</t>
  </si>
  <si>
    <t>925±45</t>
  </si>
  <si>
    <t>3255±40</t>
  </si>
  <si>
    <t>Dumayne-Peaty and Barber 1994 The impact of the Romans on the environment of  northern England. Pollen data from three sites close to Hadrian's Wall</t>
  </si>
  <si>
    <t>Vindolanda</t>
  </si>
  <si>
    <t>NY 771663</t>
  </si>
  <si>
    <t>Period I</t>
  </si>
  <si>
    <t>Period IV</t>
  </si>
  <si>
    <t>Manning et al. 1997 Roman impact on the environment of Hadrian's Wall-  precisely dated pollen analysis from Vindolanda, northern England</t>
  </si>
  <si>
    <t>Wooler Water</t>
  </si>
  <si>
    <t>NT996268</t>
  </si>
  <si>
    <t>Tallis 1964 THE PRE-PEAT VEGETATION OF THE SOUTHERN PENNINES</t>
  </si>
  <si>
    <t>Callaly Moor</t>
  </si>
  <si>
    <t>NU055095</t>
  </si>
  <si>
    <t>500 TP</t>
  </si>
  <si>
    <t>2540±110</t>
  </si>
  <si>
    <t>3920±70</t>
  </si>
  <si>
    <t>Pollen, geochemistry, mineral magnetics</t>
  </si>
  <si>
    <t>Macklin et al. 1991 Holocene alluviation and land-use change on Callaly Moor,  Northumberland, England</t>
  </si>
  <si>
    <t>Bradford Kaims</t>
  </si>
  <si>
    <t>NU1631</t>
  </si>
  <si>
    <t>Longlee Moor</t>
  </si>
  <si>
    <t>NU156195</t>
  </si>
  <si>
    <t>Embleton's Bog</t>
  </si>
  <si>
    <t>TLP?</t>
  </si>
  <si>
    <t>Bartley 1966 Pollen analysis of some lakes near Bamburgh in Northumberland</t>
  </si>
  <si>
    <t>Robinson's Moss</t>
  </si>
  <si>
    <t>250 APC</t>
  </si>
  <si>
    <t>SE045001</t>
  </si>
  <si>
    <t>4710±50</t>
  </si>
  <si>
    <t>8950±80</t>
  </si>
  <si>
    <t>Tallis &amp; Switsur (1990). Forest and moorland in the South Pennine uplands in the mid-Flandrian period II. The Hillslope Forests</t>
  </si>
  <si>
    <t>Wretton Fen</t>
  </si>
  <si>
    <t>Sparks and West (1970) Late Pleistocene Deposits at Wretton, Norfolk. I. Ipswichian Interglacial Deposits</t>
  </si>
  <si>
    <t>Foulshaw Moss</t>
  </si>
  <si>
    <t>Helsington Moss</t>
  </si>
  <si>
    <t>Nichols Moss</t>
  </si>
  <si>
    <t>400-500 TLP</t>
  </si>
  <si>
    <t>Pollen, macrofossils, choleoptera</t>
  </si>
  <si>
    <t>Croft Quarry</t>
  </si>
  <si>
    <t>Leistershire</t>
  </si>
  <si>
    <t>Samples 3,32, 40, 42</t>
  </si>
  <si>
    <t>4670±160</t>
  </si>
  <si>
    <t>10220±100</t>
  </si>
  <si>
    <t>Main Monolith</t>
  </si>
  <si>
    <t>1960±100</t>
  </si>
  <si>
    <t>3360±80</t>
  </si>
  <si>
    <t>SP517968</t>
  </si>
  <si>
    <t>Smith et al 2005 Archaeological and environmental investigations of a Late Glacial and Holocene river valley sequence on the River Soar, at Croft, Leicestershire</t>
  </si>
  <si>
    <t>Island Carr</t>
  </si>
  <si>
    <t>Redbourne Hayes</t>
  </si>
  <si>
    <t>South Ferriby</t>
  </si>
  <si>
    <t>Western Road</t>
  </si>
  <si>
    <t>Ingoldmells</t>
  </si>
  <si>
    <t>TA 00731 21158</t>
  </si>
  <si>
    <t>TF 48050 70685</t>
  </si>
  <si>
    <t>SE 72747 23538</t>
  </si>
  <si>
    <t>TA 02583 02693</t>
  </si>
  <si>
    <t>SE 99744 07719</t>
  </si>
  <si>
    <t>Smith 1958 Post-Glacial Deposits in South Yorkshire and North Lincolnshire</t>
  </si>
  <si>
    <t>Trafalgar Square</t>
  </si>
  <si>
    <t>London</t>
  </si>
  <si>
    <t>Monolith 1</t>
  </si>
  <si>
    <t>Franks 1960 Interglacial Deposits at Trafalgar Square, London</t>
  </si>
  <si>
    <t>Bobbitshole</t>
  </si>
  <si>
    <t>TM148414</t>
  </si>
  <si>
    <t>Pollen, macrofossils</t>
  </si>
  <si>
    <t>West 1957 Interglacial Deposits at Bobbitshole, Ipswich</t>
  </si>
  <si>
    <t>Cowell and Innes 1994</t>
  </si>
  <si>
    <t>Stone</t>
  </si>
  <si>
    <t>SZ 457984</t>
  </si>
  <si>
    <t>Pit 44</t>
  </si>
  <si>
    <t>Pit 45</t>
  </si>
  <si>
    <t>Pit 34</t>
  </si>
  <si>
    <t>Brown et al. 1975 Stratigraphy and environmental significance of Pleistocene deposits at Stone, Hampshire</t>
  </si>
  <si>
    <t>Seven Kings, Ilford</t>
  </si>
  <si>
    <t>av. 350 TP</t>
  </si>
  <si>
    <t>TQ 45838 88195</t>
  </si>
  <si>
    <t>Borehole 30</t>
  </si>
  <si>
    <t>West et al. 1964 Interglacial deposits at Ilford, Essex</t>
  </si>
  <si>
    <t>Aveley</t>
  </si>
  <si>
    <t>TQ552807</t>
  </si>
  <si>
    <t>Little Thurrock, Grays</t>
  </si>
  <si>
    <t>TQ625782</t>
  </si>
  <si>
    <t>av. 250 TP</t>
  </si>
  <si>
    <t>av. 200 TP</t>
  </si>
  <si>
    <t>West 1969 Pollen analyses from interglacial deposits at Aveley and Grays, Essex</t>
  </si>
  <si>
    <t>Hoxne</t>
  </si>
  <si>
    <t>TM175767</t>
  </si>
  <si>
    <t>B, Core 18</t>
  </si>
  <si>
    <t>C, Cores 7 and 8</t>
  </si>
  <si>
    <t>D, Core 6</t>
  </si>
  <si>
    <t>E, Cores 5 and 6</t>
  </si>
  <si>
    <t>F, Cores 3 and 4</t>
  </si>
  <si>
    <t>A, Cores 6-19</t>
  </si>
  <si>
    <t>II Section 100</t>
  </si>
  <si>
    <t>III Section 11</t>
  </si>
  <si>
    <t>IV Section 98 and 99</t>
  </si>
  <si>
    <t>V Section 37</t>
  </si>
  <si>
    <t>VI Section 16</t>
  </si>
  <si>
    <t>West 1956 The Quaternary Deposits at Hoxne, Suffolk</t>
  </si>
  <si>
    <t>Histon Road</t>
  </si>
  <si>
    <t>Walker 1953 The Interglacial Deposits at Histon Road, Cambridge</t>
  </si>
  <si>
    <t>Low Street, Wortwell</t>
  </si>
  <si>
    <t>TM27528437</t>
  </si>
  <si>
    <t>Sparks and West 1968 Interglacial deposits at Wortwell, Norfolk</t>
  </si>
  <si>
    <t>Stutton</t>
  </si>
  <si>
    <t>3B</t>
  </si>
  <si>
    <t>TM 14892 33194</t>
  </si>
  <si>
    <t>Sparks and West 1963 Interglacial deposits at Stutton</t>
  </si>
  <si>
    <t>Mundesley</t>
  </si>
  <si>
    <t>Swanton Morely</t>
  </si>
  <si>
    <t>Barford</t>
  </si>
  <si>
    <t>Dunston</t>
  </si>
  <si>
    <t>TG 315366</t>
  </si>
  <si>
    <t>av. 700 TP</t>
  </si>
  <si>
    <t>Roosting Hill, Beetley</t>
  </si>
  <si>
    <t>TF987181</t>
  </si>
  <si>
    <t>TG018191</t>
  </si>
  <si>
    <t>av.600 TP</t>
  </si>
  <si>
    <t>av. 300 TP</t>
  </si>
  <si>
    <t>TG111069</t>
  </si>
  <si>
    <t>TG227026</t>
  </si>
  <si>
    <t>av. 400 TLP</t>
  </si>
  <si>
    <t>Phillips and Sparks 1976 Pleistocene Vegetational History and Geology in Norfolk</t>
  </si>
  <si>
    <t>Fairsnape Fell</t>
  </si>
  <si>
    <t>SD5974</t>
  </si>
  <si>
    <t>BOW-A</t>
  </si>
  <si>
    <t>BOW-B</t>
  </si>
  <si>
    <t>840±45</t>
  </si>
  <si>
    <t>2105±40</t>
  </si>
  <si>
    <t>also 7 Pb-210 dates 0-9cm</t>
  </si>
  <si>
    <t>also 5 Pb-210 dates 0-7cm</t>
  </si>
  <si>
    <t xml:space="preserve">Mackay and Tallis (1994) The recent vegetational history of the Forest of Bowland, Lancashire, UK </t>
  </si>
  <si>
    <t>Bingley Bog</t>
  </si>
  <si>
    <t>300 TTP</t>
  </si>
  <si>
    <t>SE115386</t>
  </si>
  <si>
    <t>Keen et al. 1988 Faunal and floral assemblages from Bingley Bog, west Yorkshire, and their significance for Late Devensian and early Flandrian environmental changes</t>
  </si>
  <si>
    <t>Walton Drove</t>
  </si>
  <si>
    <t>DB1</t>
  </si>
  <si>
    <t>DB2</t>
  </si>
  <si>
    <t>Walton Moor</t>
  </si>
  <si>
    <t>ST 455 342</t>
  </si>
  <si>
    <t>Jefferies et al 1968 The Late and Post-Glacial History of the Gordano Valley, North Somersets</t>
  </si>
  <si>
    <t>Jepson's Gate</t>
  </si>
  <si>
    <t>SD623173</t>
  </si>
  <si>
    <t>Howard-Davis (1996) Seeing the sites - survey and excavation on the Anglezarke Uplands, Lancashire</t>
  </si>
  <si>
    <t>Red Moss</t>
  </si>
  <si>
    <t>SJ631103</t>
  </si>
  <si>
    <t>4370±80</t>
  </si>
  <si>
    <t>9508±200</t>
  </si>
  <si>
    <t>Hibbert et al. 1971 Radiocarbon Dating of Flandrian Pollen Zones at Red Moss, Lancashire</t>
  </si>
  <si>
    <t>Holme Fen</t>
  </si>
  <si>
    <t>E</t>
  </si>
  <si>
    <t>Trundle Mere</t>
  </si>
  <si>
    <t>Y</t>
  </si>
  <si>
    <t>Godwin and Vishnu-Mittre 1975 Studies of the Post-Glacial History of British Vegetation - XVI. Flandrian Deposits of the Fenland Margin at Holme Fen and Whittlesey Mere, Hunts</t>
  </si>
  <si>
    <t>Whittlesey Mere</t>
  </si>
  <si>
    <t>200-500 TLP</t>
  </si>
  <si>
    <t>TL 205893</t>
  </si>
  <si>
    <t>TL 18 90</t>
  </si>
  <si>
    <t>Samples for 14C unsuitbale due to rootlets</t>
  </si>
  <si>
    <t>NU 16759 29660</t>
  </si>
  <si>
    <t>TL 21709 90709</t>
  </si>
  <si>
    <t>NZ432366</t>
  </si>
  <si>
    <t>Beaumont et al. 1969 AN IPSWICHIAN PEAT RAFT IN GLACIAL TILL AT HUTTON HENRY, CO. DURHAM</t>
  </si>
  <si>
    <t>Bigland Tarn</t>
  </si>
  <si>
    <t>1204±24</t>
  </si>
  <si>
    <t>4137±30</t>
  </si>
  <si>
    <t>Pollen, chirnomids</t>
  </si>
  <si>
    <t>Nazeing</t>
  </si>
  <si>
    <t>X</t>
  </si>
  <si>
    <t>MA</t>
  </si>
  <si>
    <t>M4</t>
  </si>
  <si>
    <t>av. 70 AP</t>
  </si>
  <si>
    <t>Allison et al. (1952) Late-glacial deposits at Nazeing in the Lea Valley, North London</t>
  </si>
  <si>
    <t>Barber 2013 Comparing and cross-validating lake and bog palaeoclimatic records- a review and a new 5,000 year chironomid-inferred temperature record from northern England</t>
  </si>
  <si>
    <t>3600±100</t>
  </si>
  <si>
    <t>5010±110</t>
  </si>
  <si>
    <t>9430±100</t>
  </si>
  <si>
    <t>3160±80</t>
  </si>
  <si>
    <t>7590±70</t>
  </si>
  <si>
    <t>1470±100</t>
  </si>
  <si>
    <t>7520±80</t>
  </si>
  <si>
    <t>1190±40</t>
  </si>
  <si>
    <t>10090±140</t>
  </si>
  <si>
    <t>6080±90</t>
  </si>
  <si>
    <t>1110±160</t>
  </si>
  <si>
    <t>8023±59</t>
  </si>
  <si>
    <t>6579±34</t>
  </si>
  <si>
    <t>TQ 98740 21716</t>
  </si>
  <si>
    <t>TR 02570 17625</t>
  </si>
  <si>
    <t>TQ 17959 60180</t>
  </si>
  <si>
    <t>Flag Fen, Mere Section</t>
  </si>
  <si>
    <t>TL 227989</t>
  </si>
  <si>
    <t>Pollen, chironomids</t>
  </si>
  <si>
    <t>Scaife (1992) Flag Fen: the vegetation environment</t>
  </si>
  <si>
    <t>Black Ridge Brook II</t>
  </si>
  <si>
    <t>Pinswell</t>
  </si>
  <si>
    <t>6360±55</t>
  </si>
  <si>
    <t>6460±60</t>
  </si>
  <si>
    <t>Pollen, charcoal</t>
  </si>
  <si>
    <t>SX 57950 83996</t>
  </si>
  <si>
    <t>Caseldine and Hatton 1994 The development of high moorland on Dartmoor - fire and the influence of Mesolithic activity on vegetation change</t>
  </si>
  <si>
    <t>Cockerham</t>
  </si>
  <si>
    <t>Pilling</t>
  </si>
  <si>
    <t>HD</t>
  </si>
  <si>
    <t>150-200 AP</t>
  </si>
  <si>
    <t>SD 465 522</t>
  </si>
  <si>
    <t>SD 403 487</t>
  </si>
  <si>
    <t>Oldfield and Statham 1965 Stratigraphy and Pollen Analysis on Cockerham and Pilling Mosses, North Lancashire</t>
  </si>
  <si>
    <t>SD3350074649</t>
  </si>
  <si>
    <t>Morecambe Bay</t>
  </si>
  <si>
    <t>A5</t>
  </si>
  <si>
    <t>A6</t>
  </si>
  <si>
    <t>SD3293776367</t>
  </si>
  <si>
    <t>SD3400072000</t>
  </si>
  <si>
    <t>B1</t>
  </si>
  <si>
    <t>SD3208971901</t>
  </si>
  <si>
    <t>C6</t>
  </si>
  <si>
    <t>SD4486966459</t>
  </si>
  <si>
    <t>C7</t>
  </si>
  <si>
    <t>C8p</t>
  </si>
  <si>
    <t>SD3220977915</t>
  </si>
  <si>
    <t>8740±65</t>
  </si>
  <si>
    <t>7995±80</t>
  </si>
  <si>
    <t>8330±25</t>
  </si>
  <si>
    <t>7725±95</t>
  </si>
  <si>
    <t>8685±175</t>
  </si>
  <si>
    <t>Crosscanonby</t>
  </si>
  <si>
    <t>NY06553971</t>
  </si>
  <si>
    <t>O1</t>
  </si>
  <si>
    <t>6810±130</t>
  </si>
  <si>
    <t>6495±95</t>
  </si>
  <si>
    <t>Pollen and diatoms</t>
  </si>
  <si>
    <t>Williamson's Moss</t>
  </si>
  <si>
    <t>SD08389161</t>
  </si>
  <si>
    <t>6320±85</t>
  </si>
  <si>
    <t>4760±45</t>
  </si>
  <si>
    <t>Duddon Estuary</t>
  </si>
  <si>
    <t>4960±50</t>
  </si>
  <si>
    <t>Huddart et al. 1977 The coasts of northwest england</t>
  </si>
  <si>
    <t>TM049921</t>
  </si>
  <si>
    <t>Old Buckenham Mere 2</t>
  </si>
  <si>
    <t>RJ</t>
  </si>
  <si>
    <t>Godwin 1967 Pollen-analytic evidence for the cultivation of Cannabis in England</t>
  </si>
  <si>
    <t>Seamer Carr</t>
  </si>
  <si>
    <t>A16</t>
  </si>
  <si>
    <t>Flixton</t>
  </si>
  <si>
    <t>KH</t>
  </si>
  <si>
    <t>Killerby Carr</t>
  </si>
  <si>
    <t>TA 02087 80981</t>
  </si>
  <si>
    <t>TA 03154 81070</t>
  </si>
  <si>
    <t>TA 06505 82657</t>
  </si>
  <si>
    <t>TA 015 838</t>
  </si>
  <si>
    <t>TA028810</t>
  </si>
  <si>
    <t>6515±85</t>
  </si>
  <si>
    <t>11250±100</t>
  </si>
  <si>
    <t>min. 100 Eucalyptus</t>
  </si>
  <si>
    <t>Day 1995 Devensian Late-glacial and early Flandrian environmental history of the Vale of Pickering, Yorkshire, England.</t>
  </si>
  <si>
    <t>Clark et al. Excavations at Star Carr - Lake stratigraphy, pollen analysis and vegetational history</t>
  </si>
  <si>
    <t>Rough Tor North</t>
  </si>
  <si>
    <t>Mon A</t>
  </si>
  <si>
    <t>Mon C</t>
  </si>
  <si>
    <t>1890±70</t>
  </si>
  <si>
    <t>5600±80</t>
  </si>
  <si>
    <t>Watery Marsh</t>
  </si>
  <si>
    <t>Tresellern Marsh</t>
  </si>
  <si>
    <t>1630±50</t>
  </si>
  <si>
    <t>1390±100</t>
  </si>
  <si>
    <t>2880±60</t>
  </si>
  <si>
    <t>990±80</t>
  </si>
  <si>
    <t>4080±80</t>
  </si>
  <si>
    <t>3360±6</t>
  </si>
  <si>
    <t>3 dates but deepest date thought to be contaminated</t>
  </si>
  <si>
    <t>Mon B</t>
  </si>
  <si>
    <t>SX 14697 81191</t>
  </si>
  <si>
    <t>SX 230 765</t>
  </si>
  <si>
    <t>SX 08 61</t>
  </si>
  <si>
    <t>Slapton Marsh</t>
  </si>
  <si>
    <t>Gearey et al. 2000 Palaeoecological Evidence for the Prehistoric Settlement of Bodmin Moor, Cornwall, southwest England. Part II- Land Use Changes from the Neolithic to the Present</t>
  </si>
  <si>
    <t>Some dates but not clear whether same core or not</t>
  </si>
  <si>
    <t>SX 82506 44777</t>
  </si>
  <si>
    <t>Foster et al. 2000 Evidence for Mediaeval soil erosion in the South Hams region of Devon, UK</t>
  </si>
  <si>
    <t>Blelham Basin</t>
  </si>
  <si>
    <t>D</t>
  </si>
  <si>
    <t>Marginal Core 4</t>
  </si>
  <si>
    <t>Other marginal cores with between 2 and 8 pollen samples</t>
  </si>
  <si>
    <t>NY366005</t>
  </si>
  <si>
    <t>Evans et al. (1970) Pollen and Diatom Analyses of Late-Quaternary Deposits in the Blelham Basin, North Lancashire</t>
  </si>
  <si>
    <t>Skelwith Pool</t>
  </si>
  <si>
    <t>SD 3381</t>
  </si>
  <si>
    <t>PC-1</t>
  </si>
  <si>
    <t>7875±85</t>
  </si>
  <si>
    <t>3945±75</t>
  </si>
  <si>
    <t>PIT2</t>
  </si>
  <si>
    <t>5660±55</t>
  </si>
  <si>
    <t>4710±75</t>
  </si>
  <si>
    <t>PC-2</t>
  </si>
  <si>
    <t>PIT1</t>
  </si>
  <si>
    <t>Zong and Tooley 1966 Holocene sea-level changes and crustal movements in Morecambe Bay, northwest England</t>
  </si>
  <si>
    <t>Lower Chitterley</t>
  </si>
  <si>
    <t>Exebridge Mire</t>
  </si>
  <si>
    <t>Brightworthy Channel</t>
  </si>
  <si>
    <t>SX94405375</t>
  </si>
  <si>
    <t>12590±120</t>
  </si>
  <si>
    <t>4720±40</t>
  </si>
  <si>
    <t>9530±50</t>
  </si>
  <si>
    <t>7540±60</t>
  </si>
  <si>
    <t>8510±60</t>
  </si>
  <si>
    <t>3700±50</t>
  </si>
  <si>
    <t>LC</t>
  </si>
  <si>
    <t>EB</t>
  </si>
  <si>
    <t>SS93682530</t>
  </si>
  <si>
    <t>BW1</t>
  </si>
  <si>
    <t>SS83683607</t>
  </si>
  <si>
    <t>Fyfe and Coles (2003) Mesolithic to Bronze Age vegetation change and human activity in the Exe Valley, Devon, UK</t>
  </si>
  <si>
    <t>also Turner and Fogg 1965 A Contribution to the History of Forest Clearance [and Discussion] and Turney (1962) The Tilia decline: An Anthropogenic interpretation</t>
  </si>
  <si>
    <t>Thorne Waste</t>
  </si>
  <si>
    <t>SE723144</t>
  </si>
  <si>
    <t>AlsoTurney (1962) The Tilia decline: An Anthropogenic interpretation</t>
  </si>
  <si>
    <t>SJ492368</t>
  </si>
  <si>
    <t>3238±115</t>
  </si>
  <si>
    <t>TL200900</t>
  </si>
  <si>
    <t>TL220890</t>
  </si>
  <si>
    <t>ST433398</t>
  </si>
  <si>
    <t>2329±110</t>
  </si>
  <si>
    <t>3170±115</t>
  </si>
  <si>
    <t>Uncalibrated radiocarbon dates found in Godwin and Willis 1962 CAMBRIDGEUNIVERSITY NATURALRADIOCARBONMEASUREMENTS V</t>
  </si>
  <si>
    <t>3975±115</t>
  </si>
  <si>
    <t>3880±115</t>
  </si>
  <si>
    <t>3415±120</t>
  </si>
  <si>
    <t>3400±120</t>
  </si>
  <si>
    <t>Turner (1962) The Tilia Decline: An anthropogenic interpretation</t>
  </si>
  <si>
    <t>Birks (1963/4) Chat Moss, Lancashire</t>
  </si>
  <si>
    <t>Chilton Track</t>
  </si>
  <si>
    <t>4760±65</t>
  </si>
  <si>
    <t>ST 392 430</t>
  </si>
  <si>
    <t>Coles et al. 1970 Prehistoric Roads and Tracks in Somerset, England: 2. Neolithic</t>
  </si>
  <si>
    <t>Viper's Trackway</t>
  </si>
  <si>
    <t>Site A</t>
  </si>
  <si>
    <t>Also Dewar and Godwin (1963) Archaelogical Discoveries in the Raised bogs of the somerset levels</t>
  </si>
  <si>
    <t>Coppice Gate</t>
  </si>
  <si>
    <t>Lytheat's Drove, Westhay Moor</t>
  </si>
  <si>
    <t xml:space="preserve"> Dewar and Godwin (1963) Archaelogical Discoveries in the Raised bogs of the somerset levels</t>
  </si>
  <si>
    <t xml:space="preserve">Iping Common </t>
  </si>
  <si>
    <t>SU849222</t>
  </si>
  <si>
    <t>Keef et al. 1965 A Mesolithic site on lping Common, Sussex. England.</t>
  </si>
  <si>
    <t>Sunbiggin Tarn</t>
  </si>
  <si>
    <t xml:space="preserve">Webster (1969) The Romano-British Settlements of Westmorland. A study in Cultural ecology. PhD thesis (unpublished). </t>
  </si>
  <si>
    <t>R Jones (in prep)</t>
  </si>
  <si>
    <t>Also R Jones (in prep)</t>
  </si>
  <si>
    <t>SD270743</t>
  </si>
  <si>
    <t>SD512943</t>
  </si>
  <si>
    <t>Sparrowmire Farm</t>
  </si>
  <si>
    <t>ST 424 382</t>
  </si>
  <si>
    <t>ST 431 392</t>
  </si>
  <si>
    <t>ST 456 437</t>
  </si>
  <si>
    <t>SD 489 937</t>
  </si>
  <si>
    <t>NY 675077</t>
  </si>
  <si>
    <t>SD220847</t>
  </si>
  <si>
    <t>TL415065</t>
  </si>
  <si>
    <t>SD 355 829</t>
  </si>
  <si>
    <t>TL 689 986</t>
  </si>
  <si>
    <t>South Pennines</t>
  </si>
  <si>
    <t>SD 893 666</t>
  </si>
  <si>
    <t>SD 328918</t>
  </si>
  <si>
    <t>SD 346944</t>
  </si>
  <si>
    <t>TQ 300 805</t>
  </si>
  <si>
    <t>TL 443611</t>
  </si>
  <si>
    <t>TQ929205</t>
  </si>
  <si>
    <t>TQ933214</t>
  </si>
  <si>
    <t>TQ957228</t>
  </si>
  <si>
    <t xml:space="preserve">OSL/TL dates taken from base of Q - dated at 75ka and 125 ka respectively </t>
  </si>
  <si>
    <t>5675±50</t>
  </si>
  <si>
    <t>1340±45</t>
  </si>
  <si>
    <t>11400±80</t>
  </si>
  <si>
    <t>OSL dates also taken from different section</t>
  </si>
  <si>
    <t>Pollen and foraminifera</t>
  </si>
  <si>
    <t>3130±60</t>
  </si>
  <si>
    <t>min. 300 TP</t>
  </si>
  <si>
    <t>5615±45</t>
  </si>
  <si>
    <t>4170±45</t>
  </si>
  <si>
    <t>3770±45</t>
  </si>
  <si>
    <t>3640±45</t>
  </si>
  <si>
    <t>8170±45</t>
  </si>
  <si>
    <t>5665±45</t>
  </si>
  <si>
    <t>2325±60</t>
  </si>
  <si>
    <t>1080±40</t>
  </si>
  <si>
    <t>2840±60</t>
  </si>
  <si>
    <t>4562±59</t>
  </si>
  <si>
    <t>4384±54</t>
  </si>
  <si>
    <t>728±65</t>
  </si>
  <si>
    <t>2038±97</t>
  </si>
  <si>
    <t>Dinoflagellate, not pollen</t>
  </si>
  <si>
    <t>2430±50</t>
  </si>
  <si>
    <t>10310±90</t>
  </si>
  <si>
    <t>5628±35</t>
  </si>
  <si>
    <t>6600±60</t>
  </si>
  <si>
    <t xml:space="preserve">Dated, but no radiocarbon dates in paper. </t>
  </si>
  <si>
    <t>218±24</t>
  </si>
  <si>
    <t>9170±57</t>
  </si>
  <si>
    <t>775±24</t>
  </si>
  <si>
    <t>3346±23</t>
  </si>
  <si>
    <t>TR062176</t>
  </si>
  <si>
    <t>9140±70</t>
  </si>
  <si>
    <t>1180±50</t>
  </si>
  <si>
    <t>HEX02 11007</t>
  </si>
  <si>
    <t>2982±34</t>
  </si>
  <si>
    <t>10430±140</t>
  </si>
  <si>
    <t>24 dates taken but some rejected</t>
  </si>
  <si>
    <t>3480±100</t>
  </si>
  <si>
    <t>SJ430330</t>
  </si>
  <si>
    <t>SJ 44532 22880</t>
  </si>
  <si>
    <t>SX 60021 72730</t>
  </si>
  <si>
    <t>Birks et (1965) Pollen analytical investigations at Holcroft Moss, Lancashire and Lindow Moss, Cheshire</t>
  </si>
  <si>
    <t>Also The Wetlands of Cheshire (book)</t>
  </si>
  <si>
    <t>Crag Lough</t>
  </si>
  <si>
    <t>NY766680</t>
  </si>
  <si>
    <t>345±40</t>
  </si>
  <si>
    <t>4030±50</t>
  </si>
  <si>
    <t>3 Conventional 14C dates also taken, but these were deemed too old, possibly due to hardwater error</t>
  </si>
  <si>
    <t>Dark (2005) Mid- to late-Holocene vegetational and land-use change in the Hadrian’s Wall region- a radiocarbon-dated pollen sequence from Crag Lough, Northumberland, England</t>
  </si>
  <si>
    <t>Kirkmichael</t>
  </si>
  <si>
    <t>Isle of Man</t>
  </si>
  <si>
    <t>10200±120</t>
  </si>
  <si>
    <t>9370±90</t>
  </si>
  <si>
    <t>8300±170</t>
  </si>
  <si>
    <t>Ballaugh</t>
  </si>
  <si>
    <t>SC 31822 90615</t>
  </si>
  <si>
    <t>SC 34342 93497</t>
  </si>
  <si>
    <t>Dickson et al. 1970 The Late-Weichselian Flora of the Isle of Man</t>
  </si>
  <si>
    <t>Birmingham</t>
  </si>
  <si>
    <t>Nechells</t>
  </si>
  <si>
    <t>75 non-Alnus AP</t>
  </si>
  <si>
    <t>SP 08763 88385</t>
  </si>
  <si>
    <t>Duigan and Godwin 1956 Pollen analysis of the Nechells interglacial deposits</t>
  </si>
  <si>
    <t>West Runton</t>
  </si>
  <si>
    <t>33 Monoliths all with av. 10 pollen samples</t>
  </si>
  <si>
    <t>TG 181 427</t>
  </si>
  <si>
    <t>Duigan and Sparks 1962 Pollen Analysis of the Cromer Forest Bed Series in East Anglia</t>
  </si>
  <si>
    <t>Also Godwin 1941 Studies of the Post-Glacial History of British Vegetation. VI. Correlations in the Somerset Levels</t>
  </si>
  <si>
    <t>Mere Heath</t>
  </si>
  <si>
    <t>I</t>
  </si>
  <si>
    <t>II</t>
  </si>
  <si>
    <t xml:space="preserve">Meare Lake Village </t>
  </si>
  <si>
    <t>Godwin 1941 Studies of the Post-Glacial History of British Vegetation. VI. Correlations in the Somerset Levels</t>
  </si>
  <si>
    <t>ST 440 408</t>
  </si>
  <si>
    <t>Also Godwin 1948 Studies of the post-glacial history of British vegetation .10. correlation between climate, forest composition, prehistoric agriculture and peat stratigraphy in sub-boreal and sub-atlantic peats of the somerset levels</t>
  </si>
  <si>
    <t>Grant and Waller (2010) Holocene Fire Histories from the  Edge of Romney Marsh</t>
  </si>
  <si>
    <t>Pollies</t>
  </si>
  <si>
    <t>Curragh-y-Cowle</t>
  </si>
  <si>
    <t>9450±100</t>
  </si>
  <si>
    <t>9320±55</t>
  </si>
  <si>
    <t>9275±50</t>
  </si>
  <si>
    <t>8870±85</t>
  </si>
  <si>
    <t xml:space="preserve">SC34809460 </t>
  </si>
  <si>
    <t xml:space="preserve">Innes et al. (2004) Earliest Holocene vegetation history and island biogeography of the Isle of Man, British Isles. </t>
  </si>
  <si>
    <t>Bread and Cheese cove</t>
  </si>
  <si>
    <t>7830±110</t>
  </si>
  <si>
    <t>9670±65</t>
  </si>
  <si>
    <t>SV940158</t>
  </si>
  <si>
    <t>Scourse 1991 Late Pleistocene stratigraphy and palaeobotany of the Isles of Scilly</t>
  </si>
  <si>
    <t>Tooley and Switsur (1988) Water level changes and sedimentation during the Flandrian Age in the Romney Marsh area</t>
  </si>
  <si>
    <t>3060±80</t>
  </si>
  <si>
    <t>5890±110</t>
  </si>
  <si>
    <t>Waller et al 1999 Patterns and processes in the development of coastal mire vegetation- multi-site investigations from Walland Marsh, southeast England</t>
  </si>
  <si>
    <t>The Dowels</t>
  </si>
  <si>
    <t>2355±45</t>
  </si>
  <si>
    <t>4970±50</t>
  </si>
  <si>
    <t>Hope Farm</t>
  </si>
  <si>
    <t>4485±45</t>
  </si>
  <si>
    <t>1850±45</t>
  </si>
  <si>
    <t>4410±45</t>
  </si>
  <si>
    <t>1050±45</t>
  </si>
  <si>
    <t>TQ 99284 22219</t>
  </si>
  <si>
    <t>TQ 98714 25759</t>
  </si>
  <si>
    <t>TQ 98503 28733</t>
  </si>
  <si>
    <t>TQ 98342 30410</t>
  </si>
  <si>
    <t>Ludham Borehole</t>
  </si>
  <si>
    <t>Bramerton</t>
  </si>
  <si>
    <t>Mark's Tey</t>
  </si>
  <si>
    <t>West (1980) Pleistocene Forest History in East Anglia</t>
  </si>
  <si>
    <t>Bell Lane Quarry</t>
  </si>
  <si>
    <t>av.500 TP</t>
  </si>
  <si>
    <t>Colney Street Quarry</t>
  </si>
  <si>
    <t>av.250 TP</t>
  </si>
  <si>
    <t>TL059192</t>
  </si>
  <si>
    <t>Gibbard 1977 Pleistocene History of the Vale of St Albans</t>
  </si>
  <si>
    <t>Apethorpe</t>
  </si>
  <si>
    <t>Northamptonshire</t>
  </si>
  <si>
    <t>av.100 AP</t>
  </si>
  <si>
    <t>Sparks 1961 THE POST-GLACIAL DEPOSITS AT APETHORPE, NORTHAMPTONSHIRE</t>
  </si>
  <si>
    <t>Porlock Marsh</t>
  </si>
  <si>
    <t>PM4</t>
  </si>
  <si>
    <t>Forest Bed</t>
  </si>
  <si>
    <t>FB2a</t>
  </si>
  <si>
    <t>FB4</t>
  </si>
  <si>
    <t>FB7</t>
  </si>
  <si>
    <t>7730±50</t>
  </si>
  <si>
    <t>6160±70</t>
  </si>
  <si>
    <t>6870±90</t>
  </si>
  <si>
    <t>5070±60</t>
  </si>
  <si>
    <t>5797±22</t>
  </si>
  <si>
    <t>Jennings et al. 1988 The role of relative sea-level rise and changing sediment supply on Holocene gravel barrier development- the example of Porlock, Somerset, UK</t>
  </si>
  <si>
    <t>Sandfield Farm</t>
  </si>
  <si>
    <t>SF-10</t>
  </si>
  <si>
    <t>4020±70</t>
  </si>
  <si>
    <t>5765±150</t>
  </si>
  <si>
    <t>Long 1991 Holocene sea-level changes in the East Kent Fens Thesis</t>
  </si>
  <si>
    <t>Long 1992 Coastal responses to changes in sea-level in the East Kent Fens and southeast England, UK over the last 7500 years</t>
  </si>
  <si>
    <t>TR36405380</t>
  </si>
  <si>
    <t>H-2(a)</t>
  </si>
  <si>
    <t>H-7</t>
  </si>
  <si>
    <t>ML-9</t>
  </si>
  <si>
    <t>3900±200</t>
  </si>
  <si>
    <t>SF-4</t>
  </si>
  <si>
    <t>Marsh Lane</t>
  </si>
  <si>
    <t>Hacklinge</t>
  </si>
  <si>
    <t>TR35905330</t>
  </si>
  <si>
    <t>TR33755430</t>
  </si>
  <si>
    <t>Chatteris New Road</t>
  </si>
  <si>
    <t>Wimblington</t>
  </si>
  <si>
    <t>March Town End</t>
  </si>
  <si>
    <t>av.100 TP</t>
  </si>
  <si>
    <t>av.200 TP</t>
  </si>
  <si>
    <t>TL 417 952</t>
  </si>
  <si>
    <t>TL435908</t>
  </si>
  <si>
    <t>TL 405 865</t>
  </si>
  <si>
    <t>West et al 1995 Late Pleistocene deposits at Chatteris, March and Wimblington, Cambridgeshire, UK</t>
  </si>
  <si>
    <t>SS 87705 47353</t>
  </si>
  <si>
    <t>SS 87500 47860</t>
  </si>
  <si>
    <t>TL 02354 95724</t>
  </si>
  <si>
    <t>TG 29560 05362</t>
  </si>
  <si>
    <t>TG 38953 18337</t>
  </si>
  <si>
    <t>TL 90524 23510</t>
  </si>
  <si>
    <t>TL183031</t>
  </si>
  <si>
    <t>NX41050195</t>
  </si>
  <si>
    <t>Additional references / Comments</t>
  </si>
  <si>
    <t>3150±50</t>
  </si>
  <si>
    <t>6670±60</t>
  </si>
  <si>
    <t>5940±50</t>
  </si>
  <si>
    <t>9450±90</t>
  </si>
  <si>
    <t>Pollen and macrofossil</t>
  </si>
  <si>
    <t>6850±80</t>
  </si>
  <si>
    <t>4520±140</t>
  </si>
  <si>
    <t>Merseyside</t>
  </si>
  <si>
    <t>PM</t>
  </si>
  <si>
    <t>4740±140</t>
  </si>
  <si>
    <t>2590±100</t>
  </si>
  <si>
    <t>PMB</t>
  </si>
  <si>
    <t>2380±80</t>
  </si>
  <si>
    <t>4090±140</t>
  </si>
  <si>
    <t>1680±50</t>
  </si>
  <si>
    <t>9305±65</t>
  </si>
  <si>
    <t>Alt Valley, Ince Blundell</t>
  </si>
  <si>
    <t>7130±110</t>
  </si>
  <si>
    <t>4510±50</t>
  </si>
  <si>
    <t>5770±50</t>
  </si>
  <si>
    <t>4670±50</t>
  </si>
  <si>
    <t>7230±70</t>
  </si>
  <si>
    <t>4315±70</t>
  </si>
  <si>
    <t>5250±50</t>
  </si>
  <si>
    <t>SJ227882</t>
  </si>
  <si>
    <t>SJ221883</t>
  </si>
  <si>
    <t>SJ228888</t>
  </si>
  <si>
    <t>4740±70</t>
  </si>
  <si>
    <t>7360±60</t>
  </si>
  <si>
    <t>Cowell and Innes 1994 The Wetlands of Merserside (book)</t>
  </si>
  <si>
    <t>Birks et al. 1997 The Wetlands of Cheshire (book)</t>
  </si>
  <si>
    <t xml:space="preserve">Nook Farm </t>
  </si>
  <si>
    <t>4590±70</t>
  </si>
  <si>
    <t>3710±60</t>
  </si>
  <si>
    <t>4670±60</t>
  </si>
  <si>
    <t>4570±50</t>
  </si>
  <si>
    <t>SJ71169816</t>
  </si>
  <si>
    <t>SJ71169806</t>
  </si>
  <si>
    <t>SJ71149830</t>
  </si>
  <si>
    <t>Hall et al. 1995 The Wetlands of Greater Manchester )book)</t>
  </si>
  <si>
    <t>Birkrigg Bog</t>
  </si>
  <si>
    <t>SD537866</t>
  </si>
  <si>
    <t>Black Moss Tarn</t>
  </si>
  <si>
    <t>SD548971</t>
  </si>
  <si>
    <t>Burney Tarn</t>
  </si>
  <si>
    <t>SD255859</t>
  </si>
  <si>
    <t>Calvert Trust Land</t>
  </si>
  <si>
    <t>NY236272</t>
  </si>
  <si>
    <t>Coniston</t>
  </si>
  <si>
    <t>SD288905</t>
  </si>
  <si>
    <t>Crook Hall</t>
  </si>
  <si>
    <t>SD448944</t>
  </si>
  <si>
    <t>Derwent Water</t>
  </si>
  <si>
    <t>NY262189</t>
  </si>
  <si>
    <t>Dubbs Moss</t>
  </si>
  <si>
    <t>NY103293</t>
  </si>
  <si>
    <t>Eskrigg</t>
  </si>
  <si>
    <t>SD576889</t>
  </si>
  <si>
    <t>Gatebeck</t>
  </si>
  <si>
    <t>SD549859</t>
  </si>
  <si>
    <t>Glebe Farm</t>
  </si>
  <si>
    <t>NY185346</t>
  </si>
  <si>
    <t>Graythwaite</t>
  </si>
  <si>
    <t>NY11352300</t>
  </si>
  <si>
    <t>Heathwaite</t>
  </si>
  <si>
    <t>SD255869</t>
  </si>
  <si>
    <t>Heights</t>
  </si>
  <si>
    <t>SD603861</t>
  </si>
  <si>
    <t>Hood Tarn</t>
  </si>
  <si>
    <t>SD571876</t>
  </si>
  <si>
    <t>Little Tarn</t>
  </si>
  <si>
    <t>NY24953385</t>
  </si>
  <si>
    <t>Littlewater</t>
  </si>
  <si>
    <t>Mosedale</t>
  </si>
  <si>
    <t>NY50901705</t>
  </si>
  <si>
    <t>NY109234</t>
  </si>
  <si>
    <t xml:space="preserve">Oxenholme </t>
  </si>
  <si>
    <t>Robbed Cairn</t>
  </si>
  <si>
    <t>SD52908910</t>
  </si>
  <si>
    <t>SD257881</t>
  </si>
  <si>
    <t>St Sunday's Beck Bog</t>
  </si>
  <si>
    <t>Stable Harvey Moss</t>
  </si>
  <si>
    <t>SD553895</t>
  </si>
  <si>
    <t>SD278918</t>
  </si>
  <si>
    <t>Three Mile Bog</t>
  </si>
  <si>
    <t>SD594875</t>
  </si>
  <si>
    <t>NY35100650</t>
  </si>
  <si>
    <t>Solway Moss</t>
  </si>
  <si>
    <t>Hodgkinson et al. 2001 The Lowland Wetlands of Cumbria</t>
  </si>
  <si>
    <t>3840±85</t>
  </si>
  <si>
    <t>7080±50</t>
  </si>
  <si>
    <t>2355±65</t>
  </si>
  <si>
    <t>NY 63412 00514</t>
  </si>
  <si>
    <t>NY 34283 69413</t>
  </si>
  <si>
    <t>Langdale Combe</t>
  </si>
  <si>
    <t>Walker (1965). The Post-Glacial Period in the Langdale Fells, English Lake District</t>
  </si>
  <si>
    <t>NY262083</t>
  </si>
  <si>
    <t>Mickleden</t>
  </si>
  <si>
    <t>201 AP</t>
  </si>
  <si>
    <t>NY265070</t>
  </si>
  <si>
    <t>PLATEAU EFFECT</t>
  </si>
  <si>
    <t>Gloucestershire</t>
  </si>
  <si>
    <t>East Yorkshire</t>
  </si>
  <si>
    <t>Staffordshire</t>
  </si>
  <si>
    <t>South Yorkshire</t>
  </si>
  <si>
    <t>Isles of Scillly</t>
  </si>
  <si>
    <t>NY992230</t>
  </si>
  <si>
    <t>Wiltshire</t>
  </si>
  <si>
    <t>West Yorkshire</t>
  </si>
  <si>
    <t>North Pennines</t>
  </si>
  <si>
    <t>Yorkshire Dales</t>
  </si>
  <si>
    <t>Ashworth 1972</t>
  </si>
  <si>
    <t>SD632100</t>
  </si>
  <si>
    <t>A Late-glacial Insect Fauna from Red Moss, Lancashire, England</t>
  </si>
  <si>
    <t>Peak District</t>
  </si>
  <si>
    <t>Bristol Channel (offshore)</t>
  </si>
  <si>
    <t>Arnhill Head Brocks</t>
  </si>
  <si>
    <t>Askrigg Common</t>
  </si>
  <si>
    <t>Beldon Bottoms</t>
  </si>
  <si>
    <t>Black Rigg</t>
  </si>
  <si>
    <t>Blackshiel Bog</t>
  </si>
  <si>
    <t>North East England</t>
  </si>
  <si>
    <t>Bollihope Bog</t>
  </si>
  <si>
    <t>NT963215</t>
  </si>
  <si>
    <t>Davies, G. and Turner, J. 1979: Pollen diagrams from Northumberland. New Phytologist 82, 783– 804.</t>
  </si>
  <si>
    <t>Burnhope Burn</t>
  </si>
  <si>
    <t>Lower Teesdale</t>
  </si>
  <si>
    <t>Bellamy DJ, Bradshaw ME,  Millington GR and Simmons IG 1966 Two Quaternary Deposits in the Lower Tees Basin New Phytologist Vol. 65, No. 4 (Oct., 1966), pp. 429-442</t>
  </si>
  <si>
    <t>NU100263</t>
  </si>
  <si>
    <t>Cotterend Tarn</t>
  </si>
  <si>
    <t>Cronkley Fell Base</t>
  </si>
  <si>
    <t>Crook Burn</t>
  </si>
  <si>
    <t>Cross Fell East</t>
  </si>
  <si>
    <t>Cross Fell South</t>
  </si>
  <si>
    <t>Dead Crook</t>
  </si>
  <si>
    <t>Dufton Moss A</t>
  </si>
  <si>
    <t>NY679658</t>
  </si>
  <si>
    <t>Fleet Moss</t>
  </si>
  <si>
    <t>Fog Close</t>
  </si>
  <si>
    <t>Fortherley Moss</t>
  </si>
  <si>
    <t>Fortherley Wood</t>
  </si>
  <si>
    <t>Graham's Moss</t>
  </si>
  <si>
    <t>Harthope Quarry</t>
  </si>
  <si>
    <t>James' Hill</t>
  </si>
  <si>
    <t>Knoutberry</t>
  </si>
  <si>
    <t>Lamb Shield</t>
  </si>
  <si>
    <t>Little Punchard Head</t>
  </si>
  <si>
    <t>Long Crag</t>
  </si>
  <si>
    <t>Low Stublick</t>
  </si>
  <si>
    <t>Melmerby Fell</t>
  </si>
  <si>
    <t>Mickle Fell</t>
  </si>
  <si>
    <t>NZ010326</t>
  </si>
  <si>
    <t>Pawlaw Mire</t>
  </si>
  <si>
    <t>Sturludottir, SA &amp; Turner, J. (1985).The elm decline at Pawlaw Mire: an anthropogenic interpretation. New Phytologist 99, 323-329.</t>
  </si>
  <si>
    <t>Pawlaw Pike</t>
  </si>
  <si>
    <t>Pow Hill</t>
  </si>
  <si>
    <t>Deposits only</t>
  </si>
  <si>
    <t>Scraith Head</t>
  </si>
  <si>
    <t>Shaking Moss</t>
  </si>
  <si>
    <t>Silverband</t>
  </si>
  <si>
    <t>Staple Moss</t>
  </si>
  <si>
    <t>NY965913</t>
  </si>
  <si>
    <t>Summer Lodge Tarn</t>
  </si>
  <si>
    <t>White Beacon Haggs</t>
  </si>
  <si>
    <t>Woldgill Burn</t>
  </si>
  <si>
    <t>NY828577</t>
  </si>
  <si>
    <t>Catton Carr</t>
  </si>
  <si>
    <t>Jacqui Huntley</t>
  </si>
  <si>
    <t>Huntley, J. (2011) Alston Moor Miner-Farmer landscape: palaeoenvironmental assessment. English Heritage, Portsmouth.</t>
  </si>
  <si>
    <t>NY799307</t>
  </si>
  <si>
    <t>Dubby Moss</t>
  </si>
  <si>
    <t>NY803305</t>
  </si>
  <si>
    <t>Furness Moss</t>
  </si>
  <si>
    <t>NY796441</t>
  </si>
  <si>
    <t>Kilhope Moor</t>
  </si>
  <si>
    <t>NY819248</t>
  </si>
  <si>
    <t>Mickle Fell Shoulder</t>
  </si>
  <si>
    <t>NY886278</t>
  </si>
  <si>
    <t>Simy Folds</t>
  </si>
  <si>
    <t>NY814290</t>
  </si>
  <si>
    <t>Site W</t>
  </si>
  <si>
    <t>NY818305</t>
  </si>
  <si>
    <t>Slapestone Sike Moss (SL1)</t>
  </si>
  <si>
    <t>NY817305</t>
  </si>
  <si>
    <t>Slapestone Sike Moss (SL2)</t>
  </si>
  <si>
    <t>NY814291</t>
  </si>
  <si>
    <t>Weelfoot Moss</t>
  </si>
  <si>
    <t>NY80713041</t>
  </si>
  <si>
    <t>Wheelhead Moss (T2 140m)</t>
  </si>
  <si>
    <t>NY807304</t>
  </si>
  <si>
    <t>Wheelhead Moss (T2 365m)</t>
  </si>
  <si>
    <t>NY825295</t>
  </si>
  <si>
    <t>Widdybank Moss</t>
  </si>
  <si>
    <t>NY815298</t>
  </si>
  <si>
    <t>Widdybank Fell (B1)</t>
  </si>
  <si>
    <t>NY814294</t>
  </si>
  <si>
    <t>Widdybank Fell (B2)</t>
  </si>
  <si>
    <t>NY816291</t>
  </si>
  <si>
    <t>Widdybank Fell (B3)</t>
  </si>
  <si>
    <t>NZ311870</t>
  </si>
  <si>
    <t>Newbiggin Carr</t>
  </si>
  <si>
    <t>Tyneside</t>
  </si>
  <si>
    <t>NZ190737</t>
  </si>
  <si>
    <t>Prestwick Carr</t>
  </si>
  <si>
    <t>Yorkshire</t>
  </si>
  <si>
    <t>SE138961</t>
  </si>
  <si>
    <t>Barden Fell</t>
  </si>
  <si>
    <t>NY930785</t>
  </si>
  <si>
    <t>Colt Crag</t>
  </si>
  <si>
    <t>NY804300</t>
  </si>
  <si>
    <t>Dead Crook (DC1)</t>
  </si>
  <si>
    <t>NY803300</t>
  </si>
  <si>
    <t>Dead Crook (DC2)</t>
  </si>
  <si>
    <t>NY802400</t>
  </si>
  <si>
    <t>Dead Crook (DC3)</t>
  </si>
  <si>
    <t>NY691798</t>
  </si>
  <si>
    <t>Coom Rigg A</t>
  </si>
  <si>
    <t>KE Pratt</t>
  </si>
  <si>
    <t>NY692793</t>
  </si>
  <si>
    <t>Coom Rigg B</t>
  </si>
  <si>
    <t>NZ251439</t>
  </si>
  <si>
    <t>NY802670</t>
  </si>
  <si>
    <t>Muckle Moss A</t>
  </si>
  <si>
    <t>NY800671</t>
  </si>
  <si>
    <t>Muckle Moss B</t>
  </si>
  <si>
    <t>NZ401535</t>
  </si>
  <si>
    <t>Roberts B.K., Turner J. and Ward P. (1973) "Recent forest history and land use in Weardale, Northern England" In H.J.B. Birks and R.G. West (eds.) "Quaternary Plant Ecology" 14th Symposium of the British Ecological Society 207-221, Blackwell Scientific Publications, Oxford</t>
  </si>
  <si>
    <t>NY39825437</t>
  </si>
  <si>
    <t>NZ0184126051</t>
  </si>
  <si>
    <t>Eggleston Common</t>
  </si>
  <si>
    <t>Chambers, F.M., Daniell, J.R.G., Mauquoy, D., Newberry, J., &amp; Toms, P.S. (2007). A preliminary examination of vegetation history of moorland in Northern England. Natural England Project Contract VT0419.</t>
  </si>
  <si>
    <t>NY7620833091</t>
  </si>
  <si>
    <t>NY699340</t>
  </si>
  <si>
    <t>Teeshead 1</t>
  </si>
  <si>
    <t>Turner, J. (1984). Pollen diagrams from Cross Fell and their implication for former tree lines. In (Haworth, E. Y. &amp; Lund, J. W. G., Eds), Lake Sediments and Environmental History. Leicester: Leicester</t>
  </si>
  <si>
    <t>NY69903401</t>
  </si>
  <si>
    <t>Teeshead 2</t>
  </si>
  <si>
    <t>NY689345</t>
  </si>
  <si>
    <t>NY692341</t>
  </si>
  <si>
    <t>NY686343</t>
  </si>
  <si>
    <t>Cross Fell West</t>
  </si>
  <si>
    <t>NY688344</t>
  </si>
  <si>
    <t>Cross Fell Summit</t>
  </si>
  <si>
    <t>Johnson 1963</t>
  </si>
  <si>
    <t>Upper Valley Bog</t>
  </si>
  <si>
    <t xml:space="preserve">Johnson, G. A. L. &amp; Dunham, K. C. (1963). The Geology of Moor House. H.M.S.O., London. </t>
  </si>
  <si>
    <t>NY769328</t>
  </si>
  <si>
    <t>Bog Hill</t>
  </si>
  <si>
    <t>NY727731</t>
  </si>
  <si>
    <t>Hard Hill</t>
  </si>
  <si>
    <t>Birks 1982</t>
  </si>
  <si>
    <t>SD333822</t>
  </si>
  <si>
    <t>Roudsea Wood</t>
  </si>
  <si>
    <t>MID-FLANDRIAN FOREST HISTORY OF ROUDSEA WOOD NATIONAL NATURE RESERVE, CUMBRIA</t>
  </si>
  <si>
    <t>Birks, H. J. B. (1982). MID‐FLANDRIAN FOREST HISTORY OF ROUDSEA WOOD NATIONAL NATURE RESERVE, CUMBRIA. New Phytologist, 90(2), 339-354.</t>
  </si>
  <si>
    <t>Bonny 1976</t>
  </si>
  <si>
    <t>NY367006</t>
  </si>
  <si>
    <t>Blenham Tarn</t>
  </si>
  <si>
    <t>Cs-137 dating</t>
  </si>
  <si>
    <t>NY102152</t>
  </si>
  <si>
    <t>Ennerdale Water</t>
  </si>
  <si>
    <t>NY159058</t>
  </si>
  <si>
    <t>Wastwater</t>
  </si>
  <si>
    <t>SD362958</t>
  </si>
  <si>
    <t>Esthwaite Tarn</t>
  </si>
  <si>
    <t>SD385923</t>
  </si>
  <si>
    <t>Windermere</t>
  </si>
  <si>
    <t>Bonny 1978</t>
  </si>
  <si>
    <t>NY365004</t>
  </si>
  <si>
    <t>Blenham Tarn (Station 1)</t>
  </si>
  <si>
    <t>Blenham Tarn (Station 2)</t>
  </si>
  <si>
    <t>Chiverrell 2008</t>
  </si>
  <si>
    <t>SD6458696252</t>
  </si>
  <si>
    <t>Calf Beck</t>
  </si>
  <si>
    <t>Late Holocene environmental change in the Howgill Fells, Northwest England</t>
  </si>
  <si>
    <t>Chiverrell, R. C., Harvey, A. M., Millington, J., &amp; Richardson, N. J. (2008). Late Holocene environmental change in the Howgill Fells, northwest England. Geomorphology, 100(1), 41-69.</t>
  </si>
  <si>
    <t>NY6326200891</t>
  </si>
  <si>
    <r>
      <t xml:space="preserve">Chiverrell, R. C., Harvey, A. M., Millington, J., &amp; Richardson, N. J. (2008). Late Holocene environmental change in the Howgill Fells, northwest England. </t>
    </r>
    <r>
      <rPr>
        <i/>
        <sz val="11"/>
        <color theme="1"/>
        <rFont val="Calibri"/>
        <family val="2"/>
        <scheme val="minor"/>
      </rPr>
      <t>Geomorphology</t>
    </r>
    <r>
      <rPr>
        <sz val="11"/>
        <color theme="1"/>
        <rFont val="Calibri"/>
        <family val="2"/>
        <scheme val="minor"/>
      </rPr>
      <t xml:space="preserve">, </t>
    </r>
    <r>
      <rPr>
        <i/>
        <sz val="11"/>
        <color theme="1"/>
        <rFont val="Calibri"/>
        <family val="2"/>
        <scheme val="minor"/>
      </rPr>
      <t>100</t>
    </r>
    <r>
      <rPr>
        <sz val="11"/>
        <color theme="1"/>
        <rFont val="Calibri"/>
        <family val="2"/>
        <scheme val="minor"/>
      </rPr>
      <t>(1), 41-69.</t>
    </r>
  </si>
  <si>
    <t>SD6474599567</t>
  </si>
  <si>
    <t>Blakethwaite Soil</t>
  </si>
  <si>
    <t>NY6729003195</t>
  </si>
  <si>
    <t>Bowderdale</t>
  </si>
  <si>
    <t>Bowerdale</t>
  </si>
  <si>
    <t>SD6276399850</t>
  </si>
  <si>
    <t>Grains gill/Carlingill</t>
  </si>
  <si>
    <t>NY6643101511</t>
  </si>
  <si>
    <t>Burnt Gill</t>
  </si>
  <si>
    <t>Coombes 2008</t>
  </si>
  <si>
    <t>SD331828</t>
  </si>
  <si>
    <t>Deer Dyke Moss</t>
  </si>
  <si>
    <t>1cm intervals</t>
  </si>
  <si>
    <t>A high-resolution pollen and geochemical analysis of late Holocene human impact and vegetation history in southern Cumbria, England</t>
  </si>
  <si>
    <t>Coombes, P., Chiverrell, R. C., &amp; Barber, K. E. (2008). A high‐resolution pollen and geochemical analysis of late Holocene human impact and vegetation history in southern Cumbria, England. Journal of Quaternary Science, 24(3), 224-236.</t>
  </si>
  <si>
    <t>SD335880</t>
  </si>
  <si>
    <t>Hulleter Moss</t>
  </si>
  <si>
    <t>1-2 cm intervals</t>
  </si>
  <si>
    <r>
      <t xml:space="preserve">Coombes, P., Chiverrell, R. C., &amp; Barber, K. E. (2008). A high‐resolution pollen and geochemical analysis of late Holocene human impact and vegetation history in southern Cumbria, England. </t>
    </r>
    <r>
      <rPr>
        <i/>
        <sz val="11"/>
        <color theme="1"/>
        <rFont val="Calibri"/>
        <family val="2"/>
        <scheme val="minor"/>
      </rPr>
      <t>Journal of Quaternary Science</t>
    </r>
    <r>
      <rPr>
        <sz val="11"/>
        <color theme="1"/>
        <rFont val="Calibri"/>
        <family val="2"/>
        <scheme val="minor"/>
      </rPr>
      <t xml:space="preserve">, </t>
    </r>
    <r>
      <rPr>
        <i/>
        <sz val="11"/>
        <color theme="1"/>
        <rFont val="Calibri"/>
        <family val="2"/>
        <scheme val="minor"/>
      </rPr>
      <t>24</t>
    </r>
    <r>
      <rPr>
        <sz val="11"/>
        <color theme="1"/>
        <rFont val="Calibri"/>
        <family val="2"/>
        <scheme val="minor"/>
      </rPr>
      <t>(3), 224-236.</t>
    </r>
  </si>
  <si>
    <t>Cundill 1976</t>
  </si>
  <si>
    <t>SD628999</t>
  </si>
  <si>
    <t>Carlingill</t>
  </si>
  <si>
    <t>Cundill, P.R. (1976) Late Flandrian Vegetation and Soils in Carlingill Valley, Howgill Fells. Transactions of the Institute of British Geographers, New Series, Vol. 1, No. 3, Man'sImpact on Past Environments 301-309.</t>
  </si>
  <si>
    <t>NY632007</t>
  </si>
  <si>
    <t>Dumayne-Peaty 1998</t>
  </si>
  <si>
    <t>NY487694</t>
  </si>
  <si>
    <t>Bolton Fell Moss (Core site)</t>
  </si>
  <si>
    <t>Core site</t>
  </si>
  <si>
    <t>NY479683</t>
  </si>
  <si>
    <t>Bolton Fell Moss (Marginal site)</t>
  </si>
  <si>
    <t>Marginal site</t>
  </si>
  <si>
    <t>NY504667</t>
  </si>
  <si>
    <t>Franks 1960</t>
  </si>
  <si>
    <t>SD360964</t>
  </si>
  <si>
    <t>Esthwaite Water</t>
  </si>
  <si>
    <t>Franks, J.W. &amp; Pennington, W. (1960) The late-glacial and post-glacial deposits of the Esthwaite basin, North Lancashire. New Phytologist 60, 27-42.</t>
  </si>
  <si>
    <t>Godwin 1957</t>
  </si>
  <si>
    <t>NY431635</t>
  </si>
  <si>
    <t>Scaleby Moss</t>
  </si>
  <si>
    <t>Gresswell 1958</t>
  </si>
  <si>
    <t>SD234873</t>
  </si>
  <si>
    <t>Kirkby Pool</t>
  </si>
  <si>
    <t>Gresswell, R.K. 1958. The Post-Glacial Raised Beach in Furness and Lyth, North Morecambe Bay. Transactions and Papers (Institute of British Geographers) 25, 79-103.</t>
  </si>
  <si>
    <t>SD335849</t>
  </si>
  <si>
    <t>Rusland</t>
  </si>
  <si>
    <t>Lake District</t>
  </si>
  <si>
    <t>Hatfield 2009</t>
  </si>
  <si>
    <r>
      <t xml:space="preserve">Hatfield, R. G., &amp; Maher, B. A. (2009). Holocene sediment dynamics in an upland temperate lake catchment: climatic and land-use impacts in the English Lake District. </t>
    </r>
    <r>
      <rPr>
        <i/>
        <sz val="11"/>
        <color theme="1"/>
        <rFont val="Calibri"/>
        <family val="2"/>
        <scheme val="minor"/>
      </rPr>
      <t>The Holocene</t>
    </r>
    <r>
      <rPr>
        <sz val="11"/>
        <color theme="1"/>
        <rFont val="Calibri"/>
        <family val="2"/>
        <scheme val="minor"/>
      </rPr>
      <t xml:space="preserve">, </t>
    </r>
    <r>
      <rPr>
        <i/>
        <sz val="11"/>
        <color theme="1"/>
        <rFont val="Calibri"/>
        <family val="2"/>
        <scheme val="minor"/>
      </rPr>
      <t>19</t>
    </r>
    <r>
      <rPr>
        <sz val="11"/>
        <color theme="1"/>
        <rFont val="Calibri"/>
        <family val="2"/>
        <scheme val="minor"/>
      </rPr>
      <t>(3), 427-438.</t>
    </r>
  </si>
  <si>
    <t>Haworth 2003</t>
  </si>
  <si>
    <t>NY291141</t>
  </si>
  <si>
    <t>Blea Tarn Watendlath</t>
  </si>
  <si>
    <t>In: Haworth, E. 2003. Tarns of the Central Lake District. 204 pp.</t>
  </si>
  <si>
    <t>NY348153</t>
  </si>
  <si>
    <t>Red Tarn Helvellyn</t>
  </si>
  <si>
    <t>Heawood 2002</t>
  </si>
  <si>
    <t>Hughes 2000</t>
  </si>
  <si>
    <t>NY506672</t>
  </si>
  <si>
    <t>Walton Moss (WLM11)</t>
  </si>
  <si>
    <t>WLM11 (Macrofossil)</t>
  </si>
  <si>
    <t>Mire-development pathways and palaeoclimatic records from a full Holocene peat archive at Walton Moss, Cumbria, England</t>
  </si>
  <si>
    <t>Hughes, P. D. M., Mauquoy, D., Barber, K. E., &amp; Langdon, P. G. (2000). Mire-development pathways and palaeoclimatic records from a full Holocene peat archive at Walton Moss, Cumbria, England. The Holocene, 10(4), 465-479.</t>
  </si>
  <si>
    <t>NY505669</t>
  </si>
  <si>
    <t>Walton Moss (WLM15)</t>
  </si>
  <si>
    <t>WLM15 (Macrofossil)</t>
  </si>
  <si>
    <r>
      <t xml:space="preserve">Hughes, P. D. M., Mauquoy, D., Barber, K. E., &amp; Langdon, P. G. (2000). Mire-development pathways and palaeoclimatic records from a full Holocene peat archive at Walton Moss, Cumbria, England. </t>
    </r>
    <r>
      <rPr>
        <i/>
        <sz val="11"/>
        <color theme="1"/>
        <rFont val="Calibri"/>
        <family val="2"/>
        <scheme val="minor"/>
      </rPr>
      <t>The Holocene</t>
    </r>
    <r>
      <rPr>
        <sz val="11"/>
        <color theme="1"/>
        <rFont val="Calibri"/>
        <family val="2"/>
        <scheme val="minor"/>
      </rPr>
      <t xml:space="preserve">, </t>
    </r>
    <r>
      <rPr>
        <i/>
        <sz val="11"/>
        <color theme="1"/>
        <rFont val="Calibri"/>
        <family val="2"/>
        <scheme val="minor"/>
      </rPr>
      <t>10</t>
    </r>
    <r>
      <rPr>
        <sz val="11"/>
        <color theme="1"/>
        <rFont val="Calibri"/>
        <family val="2"/>
        <scheme val="minor"/>
      </rPr>
      <t>(4), 465-479.</t>
    </r>
  </si>
  <si>
    <t>Jones 2002</t>
  </si>
  <si>
    <t>Jones 2011</t>
  </si>
  <si>
    <t>SD478767</t>
  </si>
  <si>
    <t>HWD1</t>
  </si>
  <si>
    <t>Controls on lake level in the early to mid Holocene, Hawes Water, Lancashire, UK</t>
  </si>
  <si>
    <t>Jones, R. T., Marshall, J. D., Fisher, E., Hatton, J., Patrick, C., Anderson, K., ... &amp; Oldfield, F. (2011). Controls on lake level in the early to mid Holocene, Hawes Water, Lancashire, UK. The Holocene, 21(7), 1061-1072.</t>
  </si>
  <si>
    <t>Langdon 2004</t>
  </si>
  <si>
    <t>NY545588</t>
  </si>
  <si>
    <t>Talkin Tarn</t>
  </si>
  <si>
    <t>TAL2</t>
  </si>
  <si>
    <t>Pollen + Charcoal</t>
  </si>
  <si>
    <t>Reconstructing climate and environmental change in northern England through chironomid and pollen analyses: evidence from Talkin Tarn, Cumbria</t>
  </si>
  <si>
    <r>
      <t xml:space="preserve">Langdon, P. G., Barber, K. E., &amp; Lomas-Clarke, S. H. (2004). Reconstructing climate and environmental change in northern England through chironomid and pollen analyses: evidence from Talkin Tarn, Cumbria. </t>
    </r>
    <r>
      <rPr>
        <i/>
        <sz val="11"/>
        <color theme="1"/>
        <rFont val="Calibri"/>
        <family val="2"/>
        <scheme val="minor"/>
      </rPr>
      <t>Journal of Paleolimnology</t>
    </r>
    <r>
      <rPr>
        <sz val="11"/>
        <color theme="1"/>
        <rFont val="Calibri"/>
        <family val="2"/>
        <scheme val="minor"/>
      </rPr>
      <t xml:space="preserve">, </t>
    </r>
    <r>
      <rPr>
        <i/>
        <sz val="11"/>
        <color theme="1"/>
        <rFont val="Calibri"/>
        <family val="2"/>
        <scheme val="minor"/>
      </rPr>
      <t>32</t>
    </r>
    <r>
      <rPr>
        <sz val="11"/>
        <color theme="1"/>
        <rFont val="Calibri"/>
        <family val="2"/>
        <scheme val="minor"/>
      </rPr>
      <t>(2), 197-213.</t>
    </r>
  </si>
  <si>
    <t>Mauquoy 1999</t>
  </si>
  <si>
    <t>Mauquoy, D &amp; Barber, K. (1999). Evidence for climatic deteriorations associated with the decline of Sphagnum imbricatum Hornsch. ex Russ. in six ombrotrophic mires from northern England and the Scottish Borders. The Holocene 9, 423-437.</t>
  </si>
  <si>
    <t>Mauquoy 2002</t>
  </si>
  <si>
    <t>NY510656</t>
  </si>
  <si>
    <t>High-resolution records of late-Holocene climate change and carbon accumulation in two north-west European ombrotrophic peat bogs</t>
  </si>
  <si>
    <t>Mauquoy, D., Engelkes, T., Groot, M. H. M., Markesteijn, F., Oudejans, M. G., Van Der Plicht, J., &amp; Van Geel, B. (2002). High-resolution records of late-Holocene climate change and carbon accumulation in two north-west European ombrotrophic peat bogs. Palaeogeography, Palaeoclimatology, Palaeoecology, 186(3), 275-310.</t>
  </si>
  <si>
    <t>NY510657</t>
  </si>
  <si>
    <t>NY510658</t>
  </si>
  <si>
    <t>Middleton 1995</t>
  </si>
  <si>
    <t>SD497688</t>
  </si>
  <si>
    <t>Thwaite House Moss</t>
  </si>
  <si>
    <t>Middleton, R., Wells, C.E. and Huckerby, E. 1995. The Wetlands of North Lancashire. North West Wetlands Survey, Lancaster Imprints 4. Lancaster: Lancaster University Archaeological Unit.</t>
  </si>
  <si>
    <t>Oldfield 1963a</t>
  </si>
  <si>
    <t>Oldfield, F. and Statham, D.C. 1963a: Pollen analytical data from Urswick Tarn and Ellerside Moss, North Lancashire. New Phytologist 62, 53–66.</t>
  </si>
  <si>
    <t>SD351800</t>
  </si>
  <si>
    <t>Oldfield 1963b</t>
  </si>
  <si>
    <t>SD477764</t>
  </si>
  <si>
    <t>Oldfield, F 1963b. Pollen-Analysis and Man's Role in the Ecological History of the South-East Lake District 45, 23-40.</t>
  </si>
  <si>
    <t>SD497764</t>
  </si>
  <si>
    <t>Thrang Moss (Oldfield 1963b, Old series)</t>
  </si>
  <si>
    <t>SD437862</t>
  </si>
  <si>
    <t>Witherslack Hall</t>
  </si>
  <si>
    <t>SD467891</t>
  </si>
  <si>
    <t>SD434822</t>
  </si>
  <si>
    <t>SD461825</t>
  </si>
  <si>
    <t>SD497765</t>
  </si>
  <si>
    <t>Thrang Moss (Oldfield 1963b, New series)</t>
  </si>
  <si>
    <t>Oldfield 1965</t>
  </si>
  <si>
    <t>SD472773</t>
  </si>
  <si>
    <t>Dating problems</t>
  </si>
  <si>
    <t>SD180666</t>
  </si>
  <si>
    <t>Walney Island</t>
  </si>
  <si>
    <t>SD478765</t>
  </si>
  <si>
    <t>SD497766</t>
  </si>
  <si>
    <t>Thrang Moss</t>
  </si>
  <si>
    <t>SD434864</t>
  </si>
  <si>
    <t>Witherslack Hall Lake</t>
  </si>
  <si>
    <t>SD420849</t>
  </si>
  <si>
    <t>Helton Tarn B</t>
  </si>
  <si>
    <t>Oldfield 1970</t>
  </si>
  <si>
    <t>NY366006</t>
  </si>
  <si>
    <t>Blelham Bog</t>
  </si>
  <si>
    <t>Pearsall 1947</t>
  </si>
  <si>
    <t>NY375012</t>
  </si>
  <si>
    <t>Low Wray Bay (Pearsall 1947)</t>
  </si>
  <si>
    <t>Pennington 1943</t>
  </si>
  <si>
    <t>NY379013</t>
  </si>
  <si>
    <t>Windermere- North Basin</t>
  </si>
  <si>
    <t>Pennington 1947</t>
  </si>
  <si>
    <t>NY376012</t>
  </si>
  <si>
    <t>Low Wray Bay (Core 1)</t>
  </si>
  <si>
    <t>NY376013</t>
  </si>
  <si>
    <t>Low Wray Bay (Core 2)</t>
  </si>
  <si>
    <t>NY376014</t>
  </si>
  <si>
    <t>Low Wray Bay (Core 3a)</t>
  </si>
  <si>
    <t>NY377014</t>
  </si>
  <si>
    <t>Low Wray Bay (Core 3)</t>
  </si>
  <si>
    <t>NY378014</t>
  </si>
  <si>
    <t>Low Wray Bay (Core 4)</t>
  </si>
  <si>
    <t>NY379014</t>
  </si>
  <si>
    <t>Low Wray Bay (Core 6)</t>
  </si>
  <si>
    <t>NY382014</t>
  </si>
  <si>
    <t>Low Wray Bay (Core 7)</t>
  </si>
  <si>
    <t>NY386012</t>
  </si>
  <si>
    <t>Low Wray Bay (Core 8)</t>
  </si>
  <si>
    <t>Pennington 1964</t>
  </si>
  <si>
    <t>SD153968</t>
  </si>
  <si>
    <t>Devoke Water (Marginal)</t>
  </si>
  <si>
    <t>SD158969</t>
  </si>
  <si>
    <t>Devoke Water (Core)</t>
  </si>
  <si>
    <t>SD253988</t>
  </si>
  <si>
    <t>Seathwaite Tarn</t>
  </si>
  <si>
    <t>SD266977</t>
  </si>
  <si>
    <t>SD263967</t>
  </si>
  <si>
    <t>Blind Tarn Coniston</t>
  </si>
  <si>
    <t>NY293044</t>
  </si>
  <si>
    <t>Blea Tarn Langdale</t>
  </si>
  <si>
    <t>NY267037</t>
  </si>
  <si>
    <t>Red Tarn Langdale</t>
  </si>
  <si>
    <t>Pennington 1965</t>
  </si>
  <si>
    <t>NY083231</t>
  </si>
  <si>
    <t>Mockerkin Tarn</t>
  </si>
  <si>
    <t>NY292044</t>
  </si>
  <si>
    <t>NY268037</t>
  </si>
  <si>
    <t>NY183043</t>
  </si>
  <si>
    <t>Burnmoor Tarn</t>
  </si>
  <si>
    <t>NY271035</t>
  </si>
  <si>
    <t>Red Tarn Moss</t>
  </si>
  <si>
    <t>NY366004</t>
  </si>
  <si>
    <t>Blelham Tarn</t>
  </si>
  <si>
    <t>Pennington 1970a</t>
  </si>
  <si>
    <t>Pennington, W. (1970a). Vegetation history in the north-west of England: a regional synthesis. Studies in the vegetational history of the British Isles, 41-80.</t>
  </si>
  <si>
    <t>NY364006</t>
  </si>
  <si>
    <t>NY377001</t>
  </si>
  <si>
    <t>Low Wray Bay</t>
  </si>
  <si>
    <t>Moorthwaite Moss B</t>
  </si>
  <si>
    <t>SD162971</t>
  </si>
  <si>
    <t>SD257992</t>
  </si>
  <si>
    <t>NY454100</t>
  </si>
  <si>
    <t>Small Water</t>
  </si>
  <si>
    <t>NY261083</t>
  </si>
  <si>
    <t>NY293045</t>
  </si>
  <si>
    <t>Blea Tarn 2</t>
  </si>
  <si>
    <t>NY162093</t>
  </si>
  <si>
    <t>Low Tarn 1</t>
  </si>
  <si>
    <t>SD153980</t>
  </si>
  <si>
    <t>Brant Rake Moss</t>
  </si>
  <si>
    <t>SD108869</t>
  </si>
  <si>
    <t>Barfield Tarn</t>
  </si>
  <si>
    <t>SD086915</t>
  </si>
  <si>
    <t>Eskmeals 1</t>
  </si>
  <si>
    <t>SD086916</t>
  </si>
  <si>
    <t>Eskmeals 2</t>
  </si>
  <si>
    <t>SD086917</t>
  </si>
  <si>
    <t>Eskmeals 3</t>
  </si>
  <si>
    <t>NY310165</t>
  </si>
  <si>
    <t>Thirlmere</t>
  </si>
  <si>
    <t>Pennington 1970b</t>
  </si>
  <si>
    <t>Pennington W (1970b) Absolute Pollen Diagram from the British Late-glacial. Nature 226, 871-873.</t>
  </si>
  <si>
    <t>Pennington 1974</t>
  </si>
  <si>
    <t>SD066992</t>
  </si>
  <si>
    <t>Drigg</t>
  </si>
  <si>
    <t>Pennington W (1974) The history of British vegetation, 2nd edn. Hodder and Stoughton, London</t>
  </si>
  <si>
    <t>Pennington 1975a</t>
  </si>
  <si>
    <t>NY293043</t>
  </si>
  <si>
    <t>NY270035</t>
  </si>
  <si>
    <t>NY279080</t>
  </si>
  <si>
    <t>Thunacar Knott</t>
  </si>
  <si>
    <t>NY202043</t>
  </si>
  <si>
    <t>Quagrigg Moss</t>
  </si>
  <si>
    <t>NY452222</t>
  </si>
  <si>
    <t>Ullswater</t>
  </si>
  <si>
    <t>NY107149</t>
  </si>
  <si>
    <t>Ennerdale</t>
  </si>
  <si>
    <t>SD084917</t>
  </si>
  <si>
    <t>SD086914</t>
  </si>
  <si>
    <t>Pritt's Field</t>
  </si>
  <si>
    <t>Pennington 1976</t>
  </si>
  <si>
    <t>1 metre core (Cs and Pb techniques also used)</t>
  </si>
  <si>
    <t>Pennington W (1976) Radionuclide dating of the recent sediments of Blelham Tarn. Freshwater Biology 6, 317-331</t>
  </si>
  <si>
    <t>Pennington 1977</t>
  </si>
  <si>
    <t>NY377012</t>
  </si>
  <si>
    <t>Pennington W (1977) The Late Devensian flora and vegetation of Britain. Philos Trans R Soc Lond B 280:247–271</t>
  </si>
  <si>
    <t>Pennington 1978</t>
  </si>
  <si>
    <t>SD108868</t>
  </si>
  <si>
    <t>Pennington 1979</t>
  </si>
  <si>
    <t>THE ORIGIN OF POLLEN IN LAKE SEDIMENTS: AN ENCLOSED LAKE COMPARED WITH ONE RECEIVING INFLOW STREAMS</t>
  </si>
  <si>
    <t>Yorkshire Pollen Palaeo*</t>
  </si>
  <si>
    <t>Pennington, W. (1979). The origin of pollen in lake sediments: an enclosed lake compared with one receiving inflow streams. New Phytologist, 83(1), 189-213.</t>
  </si>
  <si>
    <t>SD5593198044</t>
  </si>
  <si>
    <t>Whinfell Tarn</t>
  </si>
  <si>
    <t>Pennington 1991</t>
  </si>
  <si>
    <t>NY185045</t>
  </si>
  <si>
    <t>Pennington 1996</t>
  </si>
  <si>
    <t>NY222098</t>
  </si>
  <si>
    <t>Sty Head Tarn</t>
  </si>
  <si>
    <t>SD393985</t>
  </si>
  <si>
    <t>NY348121</t>
  </si>
  <si>
    <t>Grisedale Tarn</t>
  </si>
  <si>
    <t>Pennington 1997</t>
  </si>
  <si>
    <t>SD303944</t>
  </si>
  <si>
    <t>Coniston Water</t>
  </si>
  <si>
    <t>Pennington 2003</t>
  </si>
  <si>
    <t>NY478138</t>
  </si>
  <si>
    <t>Haweswater</t>
  </si>
  <si>
    <t>Powell 1971</t>
  </si>
  <si>
    <t>SD483757</t>
  </si>
  <si>
    <t>Storrs Moss SM1</t>
  </si>
  <si>
    <t>SD484755</t>
  </si>
  <si>
    <t>Storrs Moss SM2</t>
  </si>
  <si>
    <t>SD484756</t>
  </si>
  <si>
    <t>Storrs Moss SM3</t>
  </si>
  <si>
    <t>SD477766</t>
  </si>
  <si>
    <t>Skinner 1999</t>
  </si>
  <si>
    <t>NY641129</t>
  </si>
  <si>
    <t>Bank Moor</t>
  </si>
  <si>
    <t>BM1</t>
  </si>
  <si>
    <t>Mid-Holocene vegetation diversity in eastern Cumbria</t>
  </si>
  <si>
    <t>Skinner, C., &amp; Brown, A. G. (1999). Mid‐Holocene vegetation diversity in eastern Cumbria. Journal of biogeography, 26(1), 45-54.</t>
  </si>
  <si>
    <t>Smith 1958</t>
  </si>
  <si>
    <t>SD437857</t>
  </si>
  <si>
    <t>Smith, A. G. (1958). Two lacustrine deposits in the south of the English Lake District. New Phytologist, 363-386.</t>
  </si>
  <si>
    <t>SD419849</t>
  </si>
  <si>
    <t>Helton Tarn</t>
  </si>
  <si>
    <t>Smith 1959</t>
  </si>
  <si>
    <t>SD459839</t>
  </si>
  <si>
    <t>Smith AG 1959 The mires of south western Westmorland: stratigraphy and pollen analysis. New Phytologist Volume 58, Issue 2, pages 105–127</t>
  </si>
  <si>
    <t>SD467889</t>
  </si>
  <si>
    <t>SD428849</t>
  </si>
  <si>
    <t>Walker 1955</t>
  </si>
  <si>
    <t>SD533967</t>
  </si>
  <si>
    <t>Skelsmergh</t>
  </si>
  <si>
    <t>NY455024</t>
  </si>
  <si>
    <t>Kentmere B</t>
  </si>
  <si>
    <t>NY456023</t>
  </si>
  <si>
    <t>Kentmere A</t>
  </si>
  <si>
    <t>NY455025</t>
  </si>
  <si>
    <t>Kentmere C</t>
  </si>
  <si>
    <t>SD534967</t>
  </si>
  <si>
    <t>Skelsmergh STT</t>
  </si>
  <si>
    <t>Walker 1966</t>
  </si>
  <si>
    <t>NY431637</t>
  </si>
  <si>
    <t>Scaleby Moss A</t>
  </si>
  <si>
    <t xml:space="preserve">Walker D (1966) The Late Quaternary history of the Cumberland lowland. Philosophical Transactions of the Royal Society of London. Series B, Biological Sciences. JSTOR 1–210. </t>
  </si>
  <si>
    <t>NY432637</t>
  </si>
  <si>
    <t>Scaleby Moss B</t>
  </si>
  <si>
    <t>NY254513</t>
  </si>
  <si>
    <t>Oulton Moss A</t>
  </si>
  <si>
    <t>NY251513</t>
  </si>
  <si>
    <t>Oulton Moss B</t>
  </si>
  <si>
    <t>NY510425</t>
  </si>
  <si>
    <t>Abbot Moss A</t>
  </si>
  <si>
    <t>NY512416</t>
  </si>
  <si>
    <t>Abbot Moss B</t>
  </si>
  <si>
    <t>NY511511</t>
  </si>
  <si>
    <t>NY512511</t>
  </si>
  <si>
    <t>Moorthwaite Moss A</t>
  </si>
  <si>
    <t>NX962116</t>
  </si>
  <si>
    <t>NY003071</t>
  </si>
  <si>
    <t>Ehenside Tarn A</t>
  </si>
  <si>
    <t>NY004071</t>
  </si>
  <si>
    <t>Ehenside Tarn B</t>
  </si>
  <si>
    <t>NY226599</t>
  </si>
  <si>
    <t>NY241605</t>
  </si>
  <si>
    <t>Glasson Shore Series A</t>
  </si>
  <si>
    <t>NY242605</t>
  </si>
  <si>
    <t>Glasson Shore Series B</t>
  </si>
  <si>
    <t>NY256495</t>
  </si>
  <si>
    <t>Wigton</t>
  </si>
  <si>
    <t>NY439509</t>
  </si>
  <si>
    <t>Wreay</t>
  </si>
  <si>
    <t>Wimble 2000</t>
  </si>
  <si>
    <t>Foulshaw Moss (Wimble 2000 FM1A)</t>
  </si>
  <si>
    <t>SD459838</t>
  </si>
  <si>
    <t>Foulshaw Moss (Wimble 2000 FM1B)</t>
  </si>
  <si>
    <t>SD466889</t>
  </si>
  <si>
    <t>Helsington Moss (Wimble 2000 HM1)</t>
  </si>
  <si>
    <t>Helsington Moss (Wimble 2000 HM2)</t>
  </si>
  <si>
    <t>SD468889</t>
  </si>
  <si>
    <t>Helsington Moss (Wimble 2000 HM3)</t>
  </si>
  <si>
    <t>SD469889</t>
  </si>
  <si>
    <t>Helsington Moss (Wimble 2000 HM4)</t>
  </si>
  <si>
    <t>SD220849</t>
  </si>
  <si>
    <t>White Moss (WMS1)</t>
  </si>
  <si>
    <t>SD216854</t>
  </si>
  <si>
    <t>White Moss (WMN1)</t>
  </si>
  <si>
    <t>SD217854</t>
  </si>
  <si>
    <t>White Moss (WMN2)</t>
  </si>
  <si>
    <t>TM040876</t>
  </si>
  <si>
    <t>Quidenham Mere</t>
  </si>
  <si>
    <t>TF726017</t>
  </si>
  <si>
    <t>Oxborough Wood</t>
  </si>
  <si>
    <t>Bradshaw, R.H.W. 1981a. Quantitative reconstruction of local woodland vegetation using pollen analysis from a small basin in Norfolk, England. J. Ecol. 69: 941-955.</t>
  </si>
  <si>
    <t>TL629847</t>
  </si>
  <si>
    <t>Shippea Hill</t>
  </si>
  <si>
    <t>CLARK, J.G.D &amp; GODWIN,H.(1962).The Neolithic in tlie Cambridgeshire Fens. Antiquity, 36,10-23.</t>
  </si>
  <si>
    <t>TL227838</t>
  </si>
  <si>
    <t>Woodwalton</t>
  </si>
  <si>
    <t>Ub</t>
  </si>
  <si>
    <t>Godwin H and Clifford 1938 : Studies of the post-glacial history of British vegetation I Origin and stratigraphy of Fenland deposits near Woodwalton, Hunts II Origin and stratigraphy of deposits in Southern Fenland Author(s): PHILOSOPHICAL TRANSACTIONS OF THE ROYAL SOCIETY OF LONDON SERIES B-BIOLOGICAL SCIENCES Volume: 229 Pages: 323-406</t>
  </si>
  <si>
    <t>TL229852</t>
  </si>
  <si>
    <t>TL244868</t>
  </si>
  <si>
    <t>Ugg Mere</t>
  </si>
  <si>
    <t>TL199905</t>
  </si>
  <si>
    <t>TL628847</t>
  </si>
  <si>
    <t>TL562849</t>
  </si>
  <si>
    <t>TL660930</t>
  </si>
  <si>
    <t>Methwold Fen</t>
  </si>
  <si>
    <t>TL724867</t>
  </si>
  <si>
    <t>Wilton Bridge</t>
  </si>
  <si>
    <t>TF595140</t>
  </si>
  <si>
    <t>St German's</t>
  </si>
  <si>
    <t>TL640848</t>
  </si>
  <si>
    <t>Plantation Farm, Shippea Hill</t>
  </si>
  <si>
    <t>TF560001</t>
  </si>
  <si>
    <t>Nordelph</t>
  </si>
  <si>
    <t>TF557001</t>
  </si>
  <si>
    <t>TL552849</t>
  </si>
  <si>
    <t>f</t>
  </si>
  <si>
    <t>TL664856</t>
  </si>
  <si>
    <t>Old Decoy</t>
  </si>
  <si>
    <t>TL555703</t>
  </si>
  <si>
    <t>Wicken Fen</t>
  </si>
  <si>
    <t>TL551687</t>
  </si>
  <si>
    <t>Reach Lode</t>
  </si>
  <si>
    <t>TL537701</t>
  </si>
  <si>
    <t>Swaffham Drain, Upware</t>
  </si>
  <si>
    <t>TL641956</t>
  </si>
  <si>
    <t>W</t>
  </si>
  <si>
    <t>F</t>
  </si>
  <si>
    <t>TL517974</t>
  </si>
  <si>
    <t>Three Holes</t>
  </si>
  <si>
    <t>TF445025</t>
  </si>
  <si>
    <t>Pear Tree Hill</t>
  </si>
  <si>
    <t>TL442958</t>
  </si>
  <si>
    <t>Poplar Farm, Roddon</t>
  </si>
  <si>
    <t>TL548852</t>
  </si>
  <si>
    <t>d</t>
  </si>
  <si>
    <t>TL597816</t>
  </si>
  <si>
    <t>Prickwillow</t>
  </si>
  <si>
    <t>TL624937</t>
  </si>
  <si>
    <t>Nancy, Southery</t>
  </si>
  <si>
    <t>TL642757</t>
  </si>
  <si>
    <t>Isleham Fen</t>
  </si>
  <si>
    <t>TL537760</t>
  </si>
  <si>
    <t>Barway</t>
  </si>
  <si>
    <t>TL661781</t>
  </si>
  <si>
    <t>Mildenhall Fen</t>
  </si>
  <si>
    <t>TF574686</t>
  </si>
  <si>
    <t>TF792444</t>
  </si>
  <si>
    <t>Judy Hard</t>
  </si>
  <si>
    <t>TL378068</t>
  </si>
  <si>
    <t>Broxbourne</t>
  </si>
  <si>
    <t>TL932937</t>
  </si>
  <si>
    <t>Hockham Mere DB5</t>
  </si>
  <si>
    <t>DB5</t>
  </si>
  <si>
    <t>TL934937</t>
  </si>
  <si>
    <t>Hockham Mere DB6</t>
  </si>
  <si>
    <t>DB6</t>
  </si>
  <si>
    <t>Old Buckenham Mere 1</t>
  </si>
  <si>
    <t>TG038012</t>
  </si>
  <si>
    <t>TM041875</t>
  </si>
  <si>
    <t>Pollen, chironomid</t>
  </si>
  <si>
    <t>Elizabeth S. Jeffers, Michael B. Bonsall, Stephen J. Brooks and Katherine J. Willis 2011. Abrupt environmental changes drive shifts in
tree–grass interaction outcomes, Journal of Ecology 99, 1063–1070</t>
  </si>
  <si>
    <t>TM1161079722</t>
  </si>
  <si>
    <t>TM041876</t>
  </si>
  <si>
    <t>Peglar, S.M. (1993b): Mid- and late-Holocene vegetation history of Quidenham Mere, Norfolk, UK interpreted using recurrent groups of taxa. Veg. Hist. Archaeobot., 2, 15–28.</t>
  </si>
  <si>
    <t>TM042793</t>
  </si>
  <si>
    <t>Lopham Little Fen</t>
  </si>
  <si>
    <t>TL291529</t>
  </si>
  <si>
    <t>Hayley Wood</t>
  </si>
  <si>
    <t>SE760997</t>
  </si>
  <si>
    <t>NY 295717</t>
  </si>
  <si>
    <t>Barber 2013</t>
  </si>
  <si>
    <t>SD355828</t>
  </si>
  <si>
    <t>Comparing and cross-validating lake and bog palaeoclimatic records: a review and a new 5,000 year chironomid-inferred temperature record from northern England</t>
  </si>
  <si>
    <t>Bedford 2004</t>
  </si>
  <si>
    <t>SD477768</t>
  </si>
  <si>
    <t>Hawes Water (Bedford 2004)</t>
  </si>
  <si>
    <t>A Late-glacial chironomid record from Hawes Water, northwest England</t>
  </si>
  <si>
    <t>Lang 2010</t>
  </si>
  <si>
    <t>Hawes Water (Lang 2010)</t>
  </si>
  <si>
    <t>Regional consistency in Lateglacial chironomid-inferred temperatures from five sites in north-west England</t>
  </si>
  <si>
    <t>SD480768</t>
  </si>
  <si>
    <t>Little Hawes Water</t>
  </si>
  <si>
    <t>SD270742</t>
  </si>
  <si>
    <t>SD489938</t>
  </si>
  <si>
    <t>CunswickTarn</t>
  </si>
  <si>
    <t>NY676076</t>
  </si>
  <si>
    <t>Marshall 2007</t>
  </si>
  <si>
    <t>Hawes Water (Marshall 2007)</t>
  </si>
  <si>
    <t xml:space="preserve">Terrestrial impact of abrupt changes in the North Atlantic thermohaline circulation: Early Holocene, UK </t>
  </si>
  <si>
    <t>Hawes Water (Jones 2002)</t>
  </si>
  <si>
    <t>Coope 1980</t>
  </si>
  <si>
    <t>NX965114</t>
  </si>
  <si>
    <t>Lateglacial environmental changes interpreted from fossil Coleoptera from St Bees, Cumbria, England</t>
  </si>
  <si>
    <t>COOPE, G. R. and JOACHIM, M. J. 1980. Lateglacial environmental changes interpreted from fossil Coleoptera from St Bees, Cumbria, England. IN: Lowe, J. J., Gray, J. M. and Robinson, J. E. (eds), Studies in the Lateglacial of North-West Europe, p56–68 Pergamon, Oxford.</t>
  </si>
  <si>
    <t>Faunal</t>
  </si>
  <si>
    <t>Floral</t>
  </si>
  <si>
    <t>Floral / Faunal</t>
  </si>
  <si>
    <t>URANIUM DATED</t>
  </si>
  <si>
    <t>ZT</t>
  </si>
  <si>
    <t>AJS</t>
  </si>
  <si>
    <t>Provenance (AJS / ZT)</t>
  </si>
  <si>
    <t>(Protist)</t>
  </si>
  <si>
    <t>Cranberry Bog</t>
  </si>
  <si>
    <t>Morden Carr</t>
  </si>
  <si>
    <t>Neasham Brick Pit</t>
  </si>
  <si>
    <t>Nunstainton Carrs</t>
  </si>
  <si>
    <t>Red Sike RS1</t>
  </si>
  <si>
    <t>Cross Fell</t>
  </si>
  <si>
    <t>Foolmire Sike</t>
  </si>
  <si>
    <t>Red Sike RS2</t>
  </si>
  <si>
    <t>Red Sike TS1</t>
  </si>
  <si>
    <t>Waskerley</t>
  </si>
  <si>
    <t>Weelhead Moss WH1</t>
  </si>
  <si>
    <t>Weelhead Moss WH2</t>
  </si>
  <si>
    <t>Peat / Lake</t>
  </si>
  <si>
    <t>Elevation (m)</t>
  </si>
  <si>
    <t>Location</t>
  </si>
  <si>
    <t>Collins 2006</t>
  </si>
  <si>
    <t>Duigan 1956</t>
  </si>
  <si>
    <t>Gearey 2000</t>
  </si>
  <si>
    <t>Brown 1977</t>
  </si>
  <si>
    <t>Green 1977</t>
  </si>
  <si>
    <t>Birks 1997</t>
  </si>
  <si>
    <t>Healy 1995</t>
  </si>
  <si>
    <t>Cowell 1994</t>
  </si>
  <si>
    <t>Connolly 1950</t>
  </si>
  <si>
    <t>Fyfe 2012</t>
  </si>
  <si>
    <t>Fyfe 2008</t>
  </si>
  <si>
    <t>Caseldine 1986</t>
  </si>
  <si>
    <t>Simmons 1983</t>
  </si>
  <si>
    <t>Amesbury 2008</t>
  </si>
  <si>
    <t>Caseldine 1994</t>
  </si>
  <si>
    <t>Taylor 1994</t>
  </si>
  <si>
    <t>Tallis 1964</t>
  </si>
  <si>
    <t>Hicks 1971</t>
  </si>
  <si>
    <t>Fyfe 2004</t>
  </si>
  <si>
    <t>Foster 2000</t>
  </si>
  <si>
    <t>Fyfe 2003</t>
  </si>
  <si>
    <t>Allen 2010</t>
  </si>
  <si>
    <t>Long 1999</t>
  </si>
  <si>
    <t>Bates 2008</t>
  </si>
  <si>
    <t>Waller 1993</t>
  </si>
  <si>
    <t>Waller 1994</t>
  </si>
  <si>
    <t>Waller 2000</t>
  </si>
  <si>
    <t>Grant 2010</t>
  </si>
  <si>
    <t>Waller 2002</t>
  </si>
  <si>
    <t>Thorley 1981</t>
  </si>
  <si>
    <t>Long 1996</t>
  </si>
  <si>
    <t>Beckett 1981</t>
  </si>
  <si>
    <t>Long 1998</t>
  </si>
  <si>
    <t>Shennan 2000</t>
  </si>
  <si>
    <t>Bush 1988</t>
  </si>
  <si>
    <t>Baker 1978</t>
  </si>
  <si>
    <t>West 1964</t>
  </si>
  <si>
    <t>West 1969</t>
  </si>
  <si>
    <t>Allison 1952</t>
  </si>
  <si>
    <t>West 1980</t>
  </si>
  <si>
    <t>Merryfield 1974</t>
  </si>
  <si>
    <t>Brown 1985</t>
  </si>
  <si>
    <t>Grant 2008</t>
  </si>
  <si>
    <t>Brown 1975</t>
  </si>
  <si>
    <t>Grant 2009b</t>
  </si>
  <si>
    <t>Grant 2009a</t>
  </si>
  <si>
    <t>Grant 2009a The Quaternary of The Solent Basin and West Sussex raised Beaches</t>
  </si>
  <si>
    <t>Groves 2012</t>
  </si>
  <si>
    <t>Gibbard 1977</t>
  </si>
  <si>
    <t>Godwin 1964</t>
  </si>
  <si>
    <t>Pearson 1962</t>
  </si>
  <si>
    <t>Dickson 1970</t>
  </si>
  <si>
    <t>Innes 2004</t>
  </si>
  <si>
    <t>Scourse 1991</t>
  </si>
  <si>
    <t>Long 1991</t>
  </si>
  <si>
    <t>Long 1995</t>
  </si>
  <si>
    <t>Schofield 2005</t>
  </si>
  <si>
    <t>Long 1993</t>
  </si>
  <si>
    <t>Long 1998a</t>
  </si>
  <si>
    <t>Long 1998b</t>
  </si>
  <si>
    <t>Waller 1999</t>
  </si>
  <si>
    <t>Smith 2005</t>
  </si>
  <si>
    <t>Keen 1999</t>
  </si>
  <si>
    <t>Branch 2012</t>
  </si>
  <si>
    <t>Wilkinson 2000</t>
  </si>
  <si>
    <t>Godwin 1959</t>
  </si>
  <si>
    <t>Chambers 1996</t>
  </si>
  <si>
    <t>Innes 2010</t>
  </si>
  <si>
    <t>Innes 2000</t>
  </si>
  <si>
    <t>Turner 1989</t>
  </si>
  <si>
    <t>Simmons 1996</t>
  </si>
  <si>
    <t>Simmons 1988</t>
  </si>
  <si>
    <t>Turner 1993</t>
  </si>
  <si>
    <t>Simmons 1974</t>
  </si>
  <si>
    <t>Atherden 1976</t>
  </si>
  <si>
    <t>Jones 1977</t>
  </si>
  <si>
    <t>Clark 1954</t>
  </si>
  <si>
    <t>Day 1995</t>
  </si>
  <si>
    <t>Innes 2009</t>
  </si>
  <si>
    <t>Giles 1992</t>
  </si>
  <si>
    <t>Sparks 1961</t>
  </si>
  <si>
    <t>Brayshay 1999</t>
  </si>
  <si>
    <t>Pearce 2003</t>
  </si>
  <si>
    <t>Clapham 1939</t>
  </si>
  <si>
    <t>Day 1991</t>
  </si>
  <si>
    <t>Beales 1980</t>
  </si>
  <si>
    <t>Twigger 1991</t>
  </si>
  <si>
    <t>Hardy 1939</t>
  </si>
  <si>
    <t>Turner 1962</t>
  </si>
  <si>
    <t>Hill 2008</t>
  </si>
  <si>
    <t>Godwin 1941</t>
  </si>
  <si>
    <t>Jeffries 1968</t>
  </si>
  <si>
    <t>Coles 1970</t>
  </si>
  <si>
    <t>Jennings 1988</t>
  </si>
  <si>
    <t>Dewar 1963</t>
  </si>
  <si>
    <t>Godwin 1955</t>
  </si>
  <si>
    <t>Tallis 1990</t>
  </si>
  <si>
    <t>Whitehouse 2004</t>
  </si>
  <si>
    <t>Lageard 1999</t>
  </si>
  <si>
    <t>Waller 2010</t>
  </si>
  <si>
    <t>Waller 1998</t>
  </si>
  <si>
    <t>Waller 2007</t>
  </si>
  <si>
    <t>Tooley 1988</t>
  </si>
  <si>
    <t>Keef 1965</t>
  </si>
  <si>
    <t>Bates 2000</t>
  </si>
  <si>
    <t>Lewis 2001</t>
  </si>
  <si>
    <t>Brown 1988</t>
  </si>
  <si>
    <t>Bartley 1962</t>
  </si>
  <si>
    <t>Day 1993</t>
  </si>
  <si>
    <t>Walker 1993</t>
  </si>
  <si>
    <t>Birks 1963</t>
  </si>
  <si>
    <t>Wells 2000</t>
  </si>
  <si>
    <t>Wells 1997</t>
  </si>
  <si>
    <t>Hibbert 1971</t>
  </si>
  <si>
    <t>Howard-Davis 1996</t>
  </si>
  <si>
    <t>Hall 1995</t>
  </si>
  <si>
    <t>Ryan 2010</t>
  </si>
  <si>
    <t>Macklin 1985</t>
  </si>
  <si>
    <t>Bartley 1975</t>
  </si>
  <si>
    <t>Keen 1988</t>
  </si>
  <si>
    <t>Gosden 1968</t>
  </si>
  <si>
    <t>Pigott 1963</t>
  </si>
  <si>
    <t>Foster 2009</t>
  </si>
  <si>
    <t>Tallis 1985</t>
  </si>
  <si>
    <t>Tallis 1973</t>
  </si>
  <si>
    <t>Walker 1953</t>
  </si>
  <si>
    <t>Wheeler 1992</t>
  </si>
  <si>
    <t>West 1995</t>
  </si>
  <si>
    <t>Godwin 1975</t>
  </si>
  <si>
    <t>Dumayne-Peaty 1994</t>
  </si>
  <si>
    <t>Scaife 1992</t>
  </si>
  <si>
    <t>Hodgkinson 2001</t>
  </si>
  <si>
    <t>Huddart 1977</t>
  </si>
  <si>
    <t>Walker 1965</t>
  </si>
  <si>
    <t>Webster 1969</t>
  </si>
  <si>
    <t>Pigott 1980</t>
  </si>
  <si>
    <t>Zong 1966</t>
  </si>
  <si>
    <t>Beaumont 1969</t>
  </si>
  <si>
    <t>Duigan 1962</t>
  </si>
  <si>
    <t>Johnson 1972</t>
  </si>
  <si>
    <t>Mackay 1994</t>
  </si>
  <si>
    <t>Evans 1970</t>
  </si>
  <si>
    <t>Bradshaw 1981</t>
  </si>
  <si>
    <t>Sparks 1970</t>
  </si>
  <si>
    <t>Sparks 1968</t>
  </si>
  <si>
    <t>West 1957</t>
  </si>
  <si>
    <t>Phillips 1976</t>
  </si>
  <si>
    <t>Godwin 1967</t>
  </si>
  <si>
    <t>Pigott and Huntley (1980) Factors controlling the distribution of Tilia Cordata at the Northern Limits of its geographical range II. History in northwest england</t>
  </si>
  <si>
    <t>West 1956</t>
  </si>
  <si>
    <t>Sparks 1963</t>
  </si>
  <si>
    <t>Boomer 2007</t>
  </si>
  <si>
    <t>Manning 1997</t>
  </si>
  <si>
    <t>Hibbert 1976</t>
  </si>
  <si>
    <t>Bartley 1966</t>
  </si>
  <si>
    <t>Innes 1988</t>
  </si>
  <si>
    <t>Dark 2005</t>
  </si>
  <si>
    <t>Macklin 1991</t>
  </si>
  <si>
    <t>Mid- to late-Holocene vegetation and land-use history in the Hadrian's Wall region of northern England: the record from Butterburn Flow</t>
  </si>
  <si>
    <t>Turner 1983</t>
  </si>
  <si>
    <t>Davies 1979</t>
  </si>
  <si>
    <t>Turner 1981</t>
  </si>
  <si>
    <t>BNG X</t>
  </si>
  <si>
    <t>BNG Y</t>
  </si>
  <si>
    <t>BNG Ref</t>
  </si>
  <si>
    <t>Subject matter</t>
  </si>
  <si>
    <t>Start BP (uncalibrated)</t>
  </si>
  <si>
    <t>End BP (uncalibrated)</t>
  </si>
  <si>
    <t>Years Spanned</t>
  </si>
  <si>
    <t>No Dates</t>
  </si>
  <si>
    <t>Date Density per 1000yrs</t>
  </si>
  <si>
    <t>Total Samples (if radiocarbon, between dates)</t>
  </si>
  <si>
    <t>Sample Resolution per 1000yrs</t>
  </si>
  <si>
    <t>TLP average pollen sum</t>
  </si>
  <si>
    <t>Search terms</t>
  </si>
  <si>
    <t>Search facility</t>
  </si>
  <si>
    <t>Bellamy 1966</t>
  </si>
  <si>
    <t>McClymont 2008</t>
  </si>
  <si>
    <t>Hendon 2004</t>
  </si>
  <si>
    <t>Yeloff 2007</t>
  </si>
  <si>
    <t>Squires 1978</t>
  </si>
  <si>
    <t>Sturludottir 1985</t>
  </si>
  <si>
    <t>Rowell 1985</t>
  </si>
  <si>
    <t>Mighall 2004</t>
  </si>
  <si>
    <t>Chambers 1978</t>
  </si>
  <si>
    <t>Turner 1979</t>
  </si>
  <si>
    <t>Raistrick 1932</t>
  </si>
  <si>
    <t>Turner 1973</t>
  </si>
  <si>
    <t>Donaldson 1980</t>
  </si>
  <si>
    <t>Chapman 1964</t>
  </si>
  <si>
    <t>Clapperton 1971</t>
  </si>
  <si>
    <t>Donaldson 1977</t>
  </si>
  <si>
    <t>Pearson 1960</t>
  </si>
  <si>
    <t>Roberts  1973</t>
  </si>
  <si>
    <t>Chambers 2006</t>
  </si>
  <si>
    <t>Turner 1984</t>
  </si>
  <si>
    <t>Bennett 1990</t>
  </si>
  <si>
    <t>Clark 1962</t>
  </si>
  <si>
    <t>Godwin 1938</t>
  </si>
  <si>
    <t>Godwin 1951</t>
  </si>
  <si>
    <t>Godwin 1968</t>
  </si>
  <si>
    <t>Hunt 1982</t>
  </si>
  <si>
    <t>Jeffers 2011</t>
  </si>
  <si>
    <t>Peglar 1989</t>
  </si>
  <si>
    <t>Peglar 1993b</t>
  </si>
  <si>
    <t>Tallantire 1953</t>
  </si>
  <si>
    <t>Frequency</t>
  </si>
  <si>
    <t>15 - 14</t>
  </si>
  <si>
    <t>14 - 13</t>
  </si>
  <si>
    <t>13 - 12</t>
  </si>
  <si>
    <t>12 - 11</t>
  </si>
  <si>
    <t>11 - 10</t>
  </si>
  <si>
    <t>10 - 9</t>
  </si>
  <si>
    <t>9 - 8</t>
  </si>
  <si>
    <t>8 - 7</t>
  </si>
  <si>
    <t>7 - 6</t>
  </si>
  <si>
    <t>6 - 5</t>
  </si>
  <si>
    <t>5 - 4</t>
  </si>
  <si>
    <t>4 - 3</t>
  </si>
  <si>
    <t>3 - 2</t>
  </si>
  <si>
    <t>2 - 1</t>
  </si>
  <si>
    <t>1 - 0</t>
  </si>
  <si>
    <t>Century (kYBP)</t>
  </si>
</sst>
</file>

<file path=xl/styles.xml><?xml version="1.0" encoding="utf-8"?>
<styleSheet xmlns="http://schemas.openxmlformats.org/spreadsheetml/2006/main">
  <fonts count="16">
    <font>
      <sz val="11"/>
      <color theme="1"/>
      <name val="Calibri"/>
      <family val="2"/>
      <scheme val="minor"/>
    </font>
    <font>
      <u/>
      <sz val="11"/>
      <color theme="10"/>
      <name val="Calibri"/>
      <family val="2"/>
      <scheme val="minor"/>
    </font>
    <font>
      <u/>
      <sz val="11"/>
      <color theme="11"/>
      <name val="Calibri"/>
      <family val="2"/>
      <scheme val="minor"/>
    </font>
    <font>
      <b/>
      <sz val="13"/>
      <color theme="1"/>
      <name val="Calibri"/>
      <scheme val="minor"/>
    </font>
    <font>
      <sz val="13"/>
      <color theme="1"/>
      <name val="Calibri"/>
      <scheme val="minor"/>
    </font>
    <font>
      <i/>
      <sz val="13"/>
      <color theme="1"/>
      <name val="Calibri"/>
      <scheme val="minor"/>
    </font>
    <font>
      <sz val="13"/>
      <color rgb="FF000000"/>
      <name val="Calibri"/>
      <scheme val="minor"/>
    </font>
    <font>
      <sz val="13"/>
      <name val="Calibri"/>
      <scheme val="minor"/>
    </font>
    <font>
      <sz val="13"/>
      <color rgb="FF111111"/>
      <name val="Calibri"/>
      <scheme val="minor"/>
    </font>
    <font>
      <sz val="8"/>
      <name val="Calibri"/>
      <family val="2"/>
      <scheme val="minor"/>
    </font>
    <font>
      <b/>
      <sz val="13"/>
      <color rgb="FF444444"/>
      <name val="Calibri"/>
      <scheme val="minor"/>
    </font>
    <font>
      <sz val="13"/>
      <color rgb="FF444444"/>
      <name val="Calibri"/>
      <scheme val="minor"/>
    </font>
    <font>
      <i/>
      <sz val="11"/>
      <color theme="1"/>
      <name val="Calibri"/>
      <family val="2"/>
      <scheme val="minor"/>
    </font>
    <font>
      <b/>
      <sz val="13"/>
      <color theme="1"/>
      <name val="Calibri"/>
      <family val="2"/>
      <scheme val="minor"/>
    </font>
    <font>
      <sz val="13"/>
      <color theme="1"/>
      <name val="Calibri"/>
      <family val="2"/>
      <scheme val="minor"/>
    </font>
    <font>
      <sz val="13"/>
      <color rgb="FF000000"/>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rgb="FF000000"/>
      </patternFill>
    </fill>
    <fill>
      <patternFill patternType="solid">
        <fgColor rgb="FFE4DFEC"/>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auto="1"/>
      </right>
      <top style="thin">
        <color auto="1"/>
      </top>
      <bottom/>
      <diagonal/>
    </border>
  </borders>
  <cellStyleXfs count="11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1">
    <xf numFmtId="0" fontId="0" fillId="0" borderId="0" xfId="0"/>
    <xf numFmtId="0" fontId="3" fillId="4" borderId="1" xfId="0" applyFont="1" applyFill="1" applyBorder="1" applyAlignment="1">
      <alignment horizontal="left" wrapText="1"/>
    </xf>
    <xf numFmtId="0" fontId="4" fillId="0" borderId="0" xfId="0" applyFont="1" applyAlignment="1">
      <alignment horizontal="left" wrapText="1"/>
    </xf>
    <xf numFmtId="0" fontId="4" fillId="0" borderId="0" xfId="0" applyFont="1" applyFill="1" applyAlignment="1">
      <alignment horizontal="left" wrapText="1"/>
    </xf>
    <xf numFmtId="0" fontId="4" fillId="0" borderId="0" xfId="0" applyFont="1" applyFill="1" applyBorder="1" applyAlignment="1">
      <alignment horizontal="left" wrapText="1"/>
    </xf>
    <xf numFmtId="49" fontId="4" fillId="0" borderId="0" xfId="0" applyNumberFormat="1" applyFont="1" applyFill="1" applyBorder="1" applyAlignment="1">
      <alignment horizontal="left" wrapText="1"/>
    </xf>
    <xf numFmtId="2" fontId="4" fillId="0" borderId="0" xfId="0" applyNumberFormat="1" applyFont="1" applyFill="1" applyBorder="1" applyAlignment="1">
      <alignment horizontal="left" wrapText="1"/>
    </xf>
    <xf numFmtId="0" fontId="3" fillId="4" borderId="2" xfId="0" applyFont="1" applyFill="1" applyBorder="1" applyAlignment="1">
      <alignment horizontal="left" wrapText="1"/>
    </xf>
    <xf numFmtId="0" fontId="4" fillId="3" borderId="3" xfId="0" applyFont="1" applyFill="1" applyBorder="1" applyAlignment="1">
      <alignment horizontal="left" wrapText="1"/>
    </xf>
    <xf numFmtId="0" fontId="4" fillId="0" borderId="3" xfId="0" applyFont="1" applyBorder="1" applyAlignment="1">
      <alignment horizontal="left" wrapText="1"/>
    </xf>
    <xf numFmtId="49" fontId="4" fillId="0" borderId="3" xfId="0" applyNumberFormat="1" applyFont="1" applyFill="1" applyBorder="1" applyAlignment="1">
      <alignment horizontal="left" wrapText="1"/>
    </xf>
    <xf numFmtId="0" fontId="4" fillId="0" borderId="3" xfId="0" applyFont="1" applyFill="1" applyBorder="1" applyAlignment="1">
      <alignment horizontal="left" wrapText="1"/>
    </xf>
    <xf numFmtId="2" fontId="4" fillId="0" borderId="3" xfId="0" applyNumberFormat="1" applyFont="1" applyFill="1" applyBorder="1" applyAlignment="1">
      <alignment horizontal="left" wrapText="1"/>
    </xf>
    <xf numFmtId="49" fontId="6" fillId="0" borderId="3" xfId="0" applyNumberFormat="1" applyFont="1" applyBorder="1" applyAlignment="1">
      <alignment horizontal="left" wrapText="1"/>
    </xf>
    <xf numFmtId="0" fontId="6" fillId="7" borderId="3" xfId="0" applyFont="1" applyFill="1" applyBorder="1" applyAlignment="1">
      <alignment horizontal="left" wrapText="1"/>
    </xf>
    <xf numFmtId="0" fontId="6" fillId="0" borderId="3" xfId="0" applyFont="1" applyBorder="1" applyAlignment="1">
      <alignment horizontal="left" wrapText="1"/>
    </xf>
    <xf numFmtId="0" fontId="3" fillId="0" borderId="3" xfId="0" applyFont="1" applyFill="1" applyBorder="1" applyAlignment="1">
      <alignment horizontal="left" wrapText="1"/>
    </xf>
    <xf numFmtId="0" fontId="6" fillId="6" borderId="3" xfId="0" applyFont="1" applyFill="1" applyBorder="1" applyAlignment="1">
      <alignment horizontal="left" wrapText="1"/>
    </xf>
    <xf numFmtId="2" fontId="6" fillId="0" borderId="3" xfId="0" applyNumberFormat="1" applyFont="1" applyBorder="1" applyAlignment="1">
      <alignment horizontal="left" wrapText="1"/>
    </xf>
    <xf numFmtId="0" fontId="4" fillId="2" borderId="3" xfId="0" applyFont="1" applyFill="1" applyBorder="1" applyAlignment="1">
      <alignment horizontal="left" wrapText="1"/>
    </xf>
    <xf numFmtId="0" fontId="6" fillId="0" borderId="3" xfId="0" applyFont="1" applyFill="1" applyBorder="1" applyAlignment="1">
      <alignment horizontal="left" wrapText="1"/>
    </xf>
    <xf numFmtId="0" fontId="6" fillId="3" borderId="3" xfId="0" applyFont="1" applyFill="1" applyBorder="1" applyAlignment="1">
      <alignment horizontal="left" wrapText="1"/>
    </xf>
    <xf numFmtId="0" fontId="4" fillId="3" borderId="3" xfId="0" applyNumberFormat="1" applyFont="1" applyFill="1" applyBorder="1" applyAlignment="1">
      <alignment horizontal="left" wrapText="1"/>
    </xf>
    <xf numFmtId="0" fontId="6" fillId="7" borderId="3" xfId="0" applyNumberFormat="1" applyFont="1" applyFill="1" applyBorder="1" applyAlignment="1">
      <alignment horizontal="left" wrapText="1"/>
    </xf>
    <xf numFmtId="0" fontId="4" fillId="0" borderId="0" xfId="0" applyNumberFormat="1" applyFont="1" applyFill="1" applyBorder="1" applyAlignment="1">
      <alignment horizontal="left" wrapText="1"/>
    </xf>
    <xf numFmtId="0" fontId="4" fillId="3" borderId="3" xfId="0" applyFont="1" applyFill="1" applyBorder="1" applyAlignment="1">
      <alignment horizontal="left"/>
    </xf>
    <xf numFmtId="0" fontId="4" fillId="0" borderId="3" xfId="0" applyFont="1" applyBorder="1" applyAlignment="1">
      <alignment horizontal="left"/>
    </xf>
    <xf numFmtId="49" fontId="4" fillId="0" borderId="3" xfId="0" applyNumberFormat="1" applyFont="1" applyFill="1" applyBorder="1" applyAlignment="1">
      <alignment horizontal="left"/>
    </xf>
    <xf numFmtId="0" fontId="4" fillId="0" borderId="3" xfId="0" applyFont="1" applyFill="1" applyBorder="1" applyAlignment="1">
      <alignment horizontal="left"/>
    </xf>
    <xf numFmtId="0" fontId="4" fillId="3" borderId="3" xfId="0" applyNumberFormat="1" applyFont="1" applyFill="1" applyBorder="1" applyAlignment="1">
      <alignment horizontal="left"/>
    </xf>
    <xf numFmtId="0" fontId="4" fillId="0" borderId="0" xfId="0" applyFont="1" applyAlignment="1">
      <alignment horizontal="left"/>
    </xf>
    <xf numFmtId="0" fontId="3" fillId="3" borderId="2" xfId="0" applyFont="1" applyFill="1" applyBorder="1" applyAlignment="1">
      <alignment horizontal="left" wrapText="1"/>
    </xf>
    <xf numFmtId="49" fontId="3" fillId="4" borderId="2" xfId="0" applyNumberFormat="1" applyFont="1" applyFill="1" applyBorder="1" applyAlignment="1">
      <alignment horizontal="left" wrapText="1"/>
    </xf>
    <xf numFmtId="2" fontId="3" fillId="4" borderId="2" xfId="0" applyNumberFormat="1" applyFont="1" applyFill="1" applyBorder="1" applyAlignment="1">
      <alignment horizontal="left" wrapText="1"/>
    </xf>
    <xf numFmtId="0" fontId="6" fillId="0" borderId="3" xfId="0" applyFont="1" applyBorder="1" applyAlignment="1">
      <alignment horizontal="left"/>
    </xf>
    <xf numFmtId="0" fontId="3" fillId="0" borderId="3" xfId="0" applyFont="1" applyFill="1" applyBorder="1" applyAlignment="1">
      <alignment horizontal="left"/>
    </xf>
    <xf numFmtId="0" fontId="8" fillId="0" borderId="3" xfId="0" applyFont="1" applyBorder="1" applyAlignment="1">
      <alignment horizontal="left"/>
    </xf>
    <xf numFmtId="0" fontId="7" fillId="3" borderId="3" xfId="0" applyFont="1" applyFill="1" applyBorder="1" applyAlignment="1">
      <alignment horizontal="left" wrapText="1"/>
    </xf>
    <xf numFmtId="0" fontId="10" fillId="0" borderId="3" xfId="0" applyFont="1" applyBorder="1" applyAlignment="1">
      <alignment horizontal="left"/>
    </xf>
    <xf numFmtId="0" fontId="11" fillId="0" borderId="3" xfId="0" applyFont="1" applyBorder="1" applyAlignment="1">
      <alignment horizontal="left"/>
    </xf>
    <xf numFmtId="0" fontId="0" fillId="0" borderId="3" xfId="0" applyBorder="1"/>
    <xf numFmtId="0" fontId="4" fillId="0" borderId="0" xfId="0" applyFont="1" applyBorder="1" applyAlignment="1">
      <alignment horizontal="left" wrapText="1"/>
    </xf>
    <xf numFmtId="0" fontId="4" fillId="0" borderId="0" xfId="0" applyFont="1" applyBorder="1" applyAlignment="1">
      <alignment horizontal="left"/>
    </xf>
    <xf numFmtId="0" fontId="4" fillId="5" borderId="0" xfId="0" applyFont="1" applyFill="1" applyAlignment="1">
      <alignment horizontal="left" wrapText="1"/>
    </xf>
    <xf numFmtId="0" fontId="4" fillId="2" borderId="0" xfId="0" applyFont="1" applyFill="1" applyAlignment="1">
      <alignment horizontal="left" wrapText="1"/>
    </xf>
    <xf numFmtId="0" fontId="13" fillId="4" borderId="4" xfId="0" applyFont="1" applyFill="1" applyBorder="1" applyAlignment="1">
      <alignment horizontal="left" wrapText="1"/>
    </xf>
    <xf numFmtId="0" fontId="14" fillId="0" borderId="3" xfId="0" applyFont="1" applyBorder="1" applyAlignment="1">
      <alignment horizontal="left" wrapText="1"/>
    </xf>
    <xf numFmtId="0" fontId="14" fillId="2" borderId="3" xfId="0" applyFont="1" applyFill="1" applyBorder="1" applyAlignment="1">
      <alignment horizontal="left" wrapText="1"/>
    </xf>
    <xf numFmtId="0" fontId="14" fillId="0" borderId="3" xfId="0" applyFont="1" applyBorder="1" applyAlignment="1">
      <alignment horizontal="left"/>
    </xf>
    <xf numFmtId="49" fontId="14" fillId="0" borderId="3" xfId="0" applyNumberFormat="1" applyFont="1" applyFill="1" applyBorder="1" applyAlignment="1">
      <alignment horizontal="left" wrapText="1"/>
    </xf>
    <xf numFmtId="0" fontId="14" fillId="0" borderId="3" xfId="0" applyFont="1" applyFill="1" applyBorder="1" applyAlignment="1">
      <alignment horizontal="left" wrapText="1"/>
    </xf>
    <xf numFmtId="0" fontId="14" fillId="0" borderId="3" xfId="0" applyFont="1" applyFill="1" applyBorder="1" applyAlignment="1">
      <alignment horizontal="left"/>
    </xf>
    <xf numFmtId="0" fontId="4" fillId="2" borderId="3" xfId="0" applyNumberFormat="1" applyFont="1" applyFill="1" applyBorder="1" applyAlignment="1">
      <alignment horizontal="left" wrapText="1"/>
    </xf>
    <xf numFmtId="2" fontId="4" fillId="2" borderId="3" xfId="0" applyNumberFormat="1" applyFont="1" applyFill="1" applyBorder="1" applyAlignment="1">
      <alignment horizontal="left" wrapText="1"/>
    </xf>
    <xf numFmtId="0" fontId="13" fillId="3" borderId="2" xfId="0" applyFont="1" applyFill="1" applyBorder="1" applyAlignment="1">
      <alignment horizontal="left" wrapText="1"/>
    </xf>
    <xf numFmtId="0" fontId="13" fillId="4" borderId="2" xfId="0" applyFont="1" applyFill="1" applyBorder="1" applyAlignment="1">
      <alignment horizontal="left" wrapText="1"/>
    </xf>
    <xf numFmtId="2" fontId="13" fillId="4" borderId="2" xfId="0" applyNumberFormat="1" applyFont="1" applyFill="1" applyBorder="1" applyAlignment="1">
      <alignment horizontal="left" wrapText="1"/>
    </xf>
    <xf numFmtId="0" fontId="13" fillId="3" borderId="2" xfId="0" applyNumberFormat="1" applyFont="1" applyFill="1" applyBorder="1" applyAlignment="1">
      <alignment horizontal="left" wrapText="1"/>
    </xf>
    <xf numFmtId="0" fontId="14" fillId="3" borderId="3" xfId="0" applyFont="1" applyFill="1" applyBorder="1" applyAlignment="1">
      <alignment horizontal="left" wrapText="1"/>
    </xf>
    <xf numFmtId="0" fontId="15" fillId="0" borderId="3" xfId="0" applyFont="1" applyBorder="1" applyAlignment="1">
      <alignment horizontal="left" wrapText="1"/>
    </xf>
    <xf numFmtId="49" fontId="0" fillId="0" borderId="0" xfId="0" applyNumberFormat="1"/>
  </cellXfs>
  <cellStyles count="11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lineMarker"/>
        <c:ser>
          <c:idx val="0"/>
          <c:order val="0"/>
          <c:spPr>
            <a:ln w="28575">
              <a:noFill/>
            </a:ln>
          </c:spPr>
          <c:xVal>
            <c:numRef>
              <c:f>'All sites'!$C$2:$C$752</c:f>
              <c:numCache>
                <c:formatCode>General</c:formatCode>
                <c:ptCount val="751"/>
                <c:pt idx="0">
                  <c:v>456850</c:v>
                </c:pt>
                <c:pt idx="1">
                  <c:v>456630</c:v>
                </c:pt>
                <c:pt idx="2">
                  <c:v>408763</c:v>
                </c:pt>
                <c:pt idx="3">
                  <c:v>214770</c:v>
                </c:pt>
                <c:pt idx="4">
                  <c:v>224724</c:v>
                </c:pt>
                <c:pt idx="5">
                  <c:v>214697</c:v>
                </c:pt>
                <c:pt idx="6">
                  <c:v>214697</c:v>
                </c:pt>
                <c:pt idx="7">
                  <c:v>214697</c:v>
                </c:pt>
                <c:pt idx="8">
                  <c:v>208000</c:v>
                </c:pt>
                <c:pt idx="9">
                  <c:v>223000</c:v>
                </c:pt>
                <c:pt idx="10">
                  <c:v>223000</c:v>
                </c:pt>
                <c:pt idx="11">
                  <c:v>265163</c:v>
                </c:pt>
                <c:pt idx="12">
                  <c:v>379300</c:v>
                </c:pt>
                <c:pt idx="13">
                  <c:v>369700</c:v>
                </c:pt>
                <c:pt idx="14">
                  <c:v>382500</c:v>
                </c:pt>
                <c:pt idx="15">
                  <c:v>367900</c:v>
                </c:pt>
                <c:pt idx="16">
                  <c:v>390500</c:v>
                </c:pt>
                <c:pt idx="17">
                  <c:v>387400</c:v>
                </c:pt>
                <c:pt idx="18">
                  <c:v>371500</c:v>
                </c:pt>
                <c:pt idx="19">
                  <c:v>378300</c:v>
                </c:pt>
                <c:pt idx="20">
                  <c:v>354700</c:v>
                </c:pt>
                <c:pt idx="21">
                  <c:v>355000</c:v>
                </c:pt>
                <c:pt idx="22">
                  <c:v>358400</c:v>
                </c:pt>
                <c:pt idx="23">
                  <c:v>375400</c:v>
                </c:pt>
                <c:pt idx="24">
                  <c:v>328500</c:v>
                </c:pt>
                <c:pt idx="25">
                  <c:v>151300</c:v>
                </c:pt>
                <c:pt idx="26">
                  <c:v>219500</c:v>
                </c:pt>
                <c:pt idx="27">
                  <c:v>219500</c:v>
                </c:pt>
                <c:pt idx="28">
                  <c:v>215200</c:v>
                </c:pt>
                <c:pt idx="29">
                  <c:v>215200</c:v>
                </c:pt>
                <c:pt idx="30">
                  <c:v>215200</c:v>
                </c:pt>
                <c:pt idx="31">
                  <c:v>215200</c:v>
                </c:pt>
                <c:pt idx="32">
                  <c:v>215200</c:v>
                </c:pt>
                <c:pt idx="33">
                  <c:v>219200</c:v>
                </c:pt>
                <c:pt idx="34">
                  <c:v>219397</c:v>
                </c:pt>
                <c:pt idx="35">
                  <c:v>212990</c:v>
                </c:pt>
                <c:pt idx="36">
                  <c:v>260420</c:v>
                </c:pt>
                <c:pt idx="37">
                  <c:v>262270</c:v>
                </c:pt>
                <c:pt idx="38">
                  <c:v>261770</c:v>
                </c:pt>
                <c:pt idx="39">
                  <c:v>263180</c:v>
                </c:pt>
                <c:pt idx="40">
                  <c:v>266000</c:v>
                </c:pt>
                <c:pt idx="41">
                  <c:v>266000</c:v>
                </c:pt>
                <c:pt idx="42">
                  <c:v>263200</c:v>
                </c:pt>
                <c:pt idx="43">
                  <c:v>258400</c:v>
                </c:pt>
                <c:pt idx="44">
                  <c:v>260021</c:v>
                </c:pt>
                <c:pt idx="45">
                  <c:v>257900</c:v>
                </c:pt>
                <c:pt idx="46">
                  <c:v>257950</c:v>
                </c:pt>
                <c:pt idx="47">
                  <c:v>418100</c:v>
                </c:pt>
                <c:pt idx="48">
                  <c:v>421300</c:v>
                </c:pt>
                <c:pt idx="49">
                  <c:v>410500</c:v>
                </c:pt>
                <c:pt idx="50">
                  <c:v>409000</c:v>
                </c:pt>
                <c:pt idx="51">
                  <c:v>426630</c:v>
                </c:pt>
                <c:pt idx="52">
                  <c:v>427920</c:v>
                </c:pt>
                <c:pt idx="53">
                  <c:v>429560</c:v>
                </c:pt>
                <c:pt idx="54">
                  <c:v>430510</c:v>
                </c:pt>
                <c:pt idx="55">
                  <c:v>426490</c:v>
                </c:pt>
                <c:pt idx="56">
                  <c:v>428830</c:v>
                </c:pt>
                <c:pt idx="57">
                  <c:v>288890</c:v>
                </c:pt>
                <c:pt idx="58">
                  <c:v>285210</c:v>
                </c:pt>
                <c:pt idx="59">
                  <c:v>286600</c:v>
                </c:pt>
                <c:pt idx="60">
                  <c:v>285960</c:v>
                </c:pt>
                <c:pt idx="61">
                  <c:v>282506</c:v>
                </c:pt>
                <c:pt idx="62">
                  <c:v>294400</c:v>
                </c:pt>
                <c:pt idx="63">
                  <c:v>293680</c:v>
                </c:pt>
                <c:pt idx="64">
                  <c:v>283680</c:v>
                </c:pt>
                <c:pt idx="65">
                  <c:v>359320</c:v>
                </c:pt>
                <c:pt idx="66">
                  <c:v>398200</c:v>
                </c:pt>
                <c:pt idx="67">
                  <c:v>630480</c:v>
                </c:pt>
                <c:pt idx="68">
                  <c:v>588720</c:v>
                </c:pt>
                <c:pt idx="69">
                  <c:v>582900</c:v>
                </c:pt>
                <c:pt idx="70">
                  <c:v>544911</c:v>
                </c:pt>
                <c:pt idx="71">
                  <c:v>588200</c:v>
                </c:pt>
                <c:pt idx="72">
                  <c:v>588300</c:v>
                </c:pt>
                <c:pt idx="73">
                  <c:v>590000</c:v>
                </c:pt>
                <c:pt idx="74">
                  <c:v>588220</c:v>
                </c:pt>
                <c:pt idx="75">
                  <c:v>598740</c:v>
                </c:pt>
                <c:pt idx="76">
                  <c:v>602570</c:v>
                </c:pt>
                <c:pt idx="77">
                  <c:v>540673</c:v>
                </c:pt>
                <c:pt idx="78">
                  <c:v>540673</c:v>
                </c:pt>
                <c:pt idx="79">
                  <c:v>592900</c:v>
                </c:pt>
                <c:pt idx="80">
                  <c:v>594800</c:v>
                </c:pt>
                <c:pt idx="81">
                  <c:v>595700</c:v>
                </c:pt>
                <c:pt idx="82">
                  <c:v>593300</c:v>
                </c:pt>
                <c:pt idx="83">
                  <c:v>592900</c:v>
                </c:pt>
                <c:pt idx="84">
                  <c:v>527900</c:v>
                </c:pt>
                <c:pt idx="85">
                  <c:v>483900</c:v>
                </c:pt>
                <c:pt idx="86">
                  <c:v>483900</c:v>
                </c:pt>
                <c:pt idx="87">
                  <c:v>497400</c:v>
                </c:pt>
                <c:pt idx="88">
                  <c:v>497400</c:v>
                </c:pt>
                <c:pt idx="89">
                  <c:v>542300</c:v>
                </c:pt>
                <c:pt idx="90">
                  <c:v>525700</c:v>
                </c:pt>
                <c:pt idx="91">
                  <c:v>512600</c:v>
                </c:pt>
                <c:pt idx="92">
                  <c:v>587600</c:v>
                </c:pt>
                <c:pt idx="93">
                  <c:v>543200</c:v>
                </c:pt>
                <c:pt idx="94">
                  <c:v>545838</c:v>
                </c:pt>
                <c:pt idx="95">
                  <c:v>555200</c:v>
                </c:pt>
                <c:pt idx="96">
                  <c:v>562500</c:v>
                </c:pt>
                <c:pt idx="97">
                  <c:v>541500</c:v>
                </c:pt>
                <c:pt idx="98">
                  <c:v>541500</c:v>
                </c:pt>
                <c:pt idx="99">
                  <c:v>541500</c:v>
                </c:pt>
                <c:pt idx="100">
                  <c:v>590524</c:v>
                </c:pt>
                <c:pt idx="101">
                  <c:v>282360</c:v>
                </c:pt>
                <c:pt idx="102">
                  <c:v>282970</c:v>
                </c:pt>
                <c:pt idx="103">
                  <c:v>283220</c:v>
                </c:pt>
                <c:pt idx="104">
                  <c:v>274300</c:v>
                </c:pt>
                <c:pt idx="105">
                  <c:v>272800</c:v>
                </c:pt>
                <c:pt idx="106">
                  <c:v>272300</c:v>
                </c:pt>
                <c:pt idx="107">
                  <c:v>273222</c:v>
                </c:pt>
                <c:pt idx="108">
                  <c:v>389810</c:v>
                </c:pt>
                <c:pt idx="109">
                  <c:v>425100</c:v>
                </c:pt>
                <c:pt idx="110">
                  <c:v>419800</c:v>
                </c:pt>
                <c:pt idx="111">
                  <c:v>428319</c:v>
                </c:pt>
                <c:pt idx="112">
                  <c:v>445700</c:v>
                </c:pt>
                <c:pt idx="113">
                  <c:v>445700</c:v>
                </c:pt>
                <c:pt idx="114">
                  <c:v>445700</c:v>
                </c:pt>
                <c:pt idx="115">
                  <c:v>424700</c:v>
                </c:pt>
                <c:pt idx="116">
                  <c:v>419000</c:v>
                </c:pt>
                <c:pt idx="117">
                  <c:v>481800</c:v>
                </c:pt>
                <c:pt idx="118">
                  <c:v>518300</c:v>
                </c:pt>
                <c:pt idx="119">
                  <c:v>505900</c:v>
                </c:pt>
                <c:pt idx="120">
                  <c:v>419700</c:v>
                </c:pt>
                <c:pt idx="121">
                  <c:v>419700</c:v>
                </c:pt>
                <c:pt idx="122">
                  <c:v>231822</c:v>
                </c:pt>
                <c:pt idx="123">
                  <c:v>231822</c:v>
                </c:pt>
                <c:pt idx="124">
                  <c:v>231822</c:v>
                </c:pt>
                <c:pt idx="125">
                  <c:v>231822</c:v>
                </c:pt>
                <c:pt idx="126">
                  <c:v>234342</c:v>
                </c:pt>
                <c:pt idx="127">
                  <c:v>234800</c:v>
                </c:pt>
                <c:pt idx="128">
                  <c:v>241050</c:v>
                </c:pt>
                <c:pt idx="129">
                  <c:v>94000</c:v>
                </c:pt>
                <c:pt idx="130">
                  <c:v>636400</c:v>
                </c:pt>
                <c:pt idx="131">
                  <c:v>636400</c:v>
                </c:pt>
                <c:pt idx="132">
                  <c:v>633750</c:v>
                </c:pt>
                <c:pt idx="133">
                  <c:v>633750</c:v>
                </c:pt>
                <c:pt idx="134">
                  <c:v>635900</c:v>
                </c:pt>
                <c:pt idx="135">
                  <c:v>603420</c:v>
                </c:pt>
                <c:pt idx="136">
                  <c:v>606200</c:v>
                </c:pt>
                <c:pt idx="137">
                  <c:v>599000</c:v>
                </c:pt>
                <c:pt idx="138">
                  <c:v>602860</c:v>
                </c:pt>
                <c:pt idx="139">
                  <c:v>602760</c:v>
                </c:pt>
                <c:pt idx="140">
                  <c:v>602620</c:v>
                </c:pt>
                <c:pt idx="141">
                  <c:v>592950</c:v>
                </c:pt>
                <c:pt idx="142">
                  <c:v>605000</c:v>
                </c:pt>
                <c:pt idx="143">
                  <c:v>605020</c:v>
                </c:pt>
                <c:pt idx="144">
                  <c:v>598342</c:v>
                </c:pt>
                <c:pt idx="145">
                  <c:v>598503</c:v>
                </c:pt>
                <c:pt idx="146">
                  <c:v>598714</c:v>
                </c:pt>
                <c:pt idx="147">
                  <c:v>599284</c:v>
                </c:pt>
                <c:pt idx="148">
                  <c:v>451700</c:v>
                </c:pt>
                <c:pt idx="149">
                  <c:v>451700</c:v>
                </c:pt>
                <c:pt idx="150">
                  <c:v>506020</c:v>
                </c:pt>
                <c:pt idx="151">
                  <c:v>527350</c:v>
                </c:pt>
                <c:pt idx="152">
                  <c:v>533200</c:v>
                </c:pt>
                <c:pt idx="153">
                  <c:v>518500</c:v>
                </c:pt>
                <c:pt idx="154">
                  <c:v>518500</c:v>
                </c:pt>
                <c:pt idx="155">
                  <c:v>499744</c:v>
                </c:pt>
                <c:pt idx="156">
                  <c:v>502583</c:v>
                </c:pt>
                <c:pt idx="157">
                  <c:v>500731</c:v>
                </c:pt>
                <c:pt idx="158">
                  <c:v>548050</c:v>
                </c:pt>
                <c:pt idx="159">
                  <c:v>530000</c:v>
                </c:pt>
                <c:pt idx="160">
                  <c:v>551600</c:v>
                </c:pt>
                <c:pt idx="161">
                  <c:v>552470</c:v>
                </c:pt>
                <c:pt idx="162">
                  <c:v>555223</c:v>
                </c:pt>
                <c:pt idx="163">
                  <c:v>540068</c:v>
                </c:pt>
                <c:pt idx="164">
                  <c:v>331895</c:v>
                </c:pt>
                <c:pt idx="165">
                  <c:v>322100</c:v>
                </c:pt>
                <c:pt idx="166">
                  <c:v>322800</c:v>
                </c:pt>
                <c:pt idx="167">
                  <c:v>322700</c:v>
                </c:pt>
                <c:pt idx="168">
                  <c:v>323900</c:v>
                </c:pt>
                <c:pt idx="169">
                  <c:v>331100</c:v>
                </c:pt>
                <c:pt idx="170">
                  <c:v>330700</c:v>
                </c:pt>
                <c:pt idx="171">
                  <c:v>334200</c:v>
                </c:pt>
                <c:pt idx="172">
                  <c:v>345500</c:v>
                </c:pt>
                <c:pt idx="173">
                  <c:v>344500</c:v>
                </c:pt>
                <c:pt idx="174">
                  <c:v>344800</c:v>
                </c:pt>
                <c:pt idx="175">
                  <c:v>354500</c:v>
                </c:pt>
                <c:pt idx="176">
                  <c:v>346800</c:v>
                </c:pt>
                <c:pt idx="177">
                  <c:v>537000</c:v>
                </c:pt>
                <c:pt idx="178">
                  <c:v>474000</c:v>
                </c:pt>
                <c:pt idx="179">
                  <c:v>473100</c:v>
                </c:pt>
                <c:pt idx="180">
                  <c:v>473500</c:v>
                </c:pt>
                <c:pt idx="181">
                  <c:v>472600</c:v>
                </c:pt>
                <c:pt idx="182">
                  <c:v>472600</c:v>
                </c:pt>
                <c:pt idx="183">
                  <c:v>472600</c:v>
                </c:pt>
                <c:pt idx="184">
                  <c:v>472600</c:v>
                </c:pt>
                <c:pt idx="185">
                  <c:v>472600</c:v>
                </c:pt>
                <c:pt idx="186">
                  <c:v>472600</c:v>
                </c:pt>
                <c:pt idx="187">
                  <c:v>472600</c:v>
                </c:pt>
                <c:pt idx="188">
                  <c:v>472600</c:v>
                </c:pt>
                <c:pt idx="189">
                  <c:v>472600</c:v>
                </c:pt>
                <c:pt idx="190">
                  <c:v>472600</c:v>
                </c:pt>
                <c:pt idx="191">
                  <c:v>459800</c:v>
                </c:pt>
                <c:pt idx="192">
                  <c:v>476000</c:v>
                </c:pt>
                <c:pt idx="193">
                  <c:v>485300</c:v>
                </c:pt>
                <c:pt idx="194">
                  <c:v>487600</c:v>
                </c:pt>
                <c:pt idx="195">
                  <c:v>483400</c:v>
                </c:pt>
                <c:pt idx="196">
                  <c:v>483200</c:v>
                </c:pt>
                <c:pt idx="197">
                  <c:v>483000</c:v>
                </c:pt>
                <c:pt idx="198">
                  <c:v>448600</c:v>
                </c:pt>
                <c:pt idx="199">
                  <c:v>460900</c:v>
                </c:pt>
                <c:pt idx="200">
                  <c:v>463500</c:v>
                </c:pt>
                <c:pt idx="201">
                  <c:v>469500</c:v>
                </c:pt>
                <c:pt idx="202">
                  <c:v>469500</c:v>
                </c:pt>
                <c:pt idx="203">
                  <c:v>476600</c:v>
                </c:pt>
                <c:pt idx="204">
                  <c:v>468300</c:v>
                </c:pt>
                <c:pt idx="205">
                  <c:v>468300</c:v>
                </c:pt>
                <c:pt idx="206">
                  <c:v>468300</c:v>
                </c:pt>
                <c:pt idx="207">
                  <c:v>501500</c:v>
                </c:pt>
                <c:pt idx="208">
                  <c:v>503154</c:v>
                </c:pt>
                <c:pt idx="209">
                  <c:v>503154</c:v>
                </c:pt>
                <c:pt idx="210">
                  <c:v>506505</c:v>
                </c:pt>
                <c:pt idx="211">
                  <c:v>502087</c:v>
                </c:pt>
                <c:pt idx="212">
                  <c:v>502800</c:v>
                </c:pt>
                <c:pt idx="213">
                  <c:v>427950</c:v>
                </c:pt>
                <c:pt idx="214">
                  <c:v>428950</c:v>
                </c:pt>
                <c:pt idx="215">
                  <c:v>437736</c:v>
                </c:pt>
                <c:pt idx="216">
                  <c:v>502354</c:v>
                </c:pt>
                <c:pt idx="217">
                  <c:v>480500</c:v>
                </c:pt>
                <c:pt idx="218">
                  <c:v>451340</c:v>
                </c:pt>
                <c:pt idx="219">
                  <c:v>446439</c:v>
                </c:pt>
                <c:pt idx="220">
                  <c:v>446100</c:v>
                </c:pt>
                <c:pt idx="221">
                  <c:v>455600</c:v>
                </c:pt>
                <c:pt idx="222">
                  <c:v>343500</c:v>
                </c:pt>
                <c:pt idx="223">
                  <c:v>344532</c:v>
                </c:pt>
                <c:pt idx="224">
                  <c:v>343283</c:v>
                </c:pt>
                <c:pt idx="225">
                  <c:v>351609</c:v>
                </c:pt>
                <c:pt idx="226">
                  <c:v>346271</c:v>
                </c:pt>
                <c:pt idx="227">
                  <c:v>349200</c:v>
                </c:pt>
                <c:pt idx="228">
                  <c:v>344708</c:v>
                </c:pt>
                <c:pt idx="229">
                  <c:v>342100</c:v>
                </c:pt>
                <c:pt idx="230">
                  <c:v>344400</c:v>
                </c:pt>
                <c:pt idx="231">
                  <c:v>344400</c:v>
                </c:pt>
                <c:pt idx="232">
                  <c:v>342300</c:v>
                </c:pt>
                <c:pt idx="233">
                  <c:v>341700</c:v>
                </c:pt>
                <c:pt idx="234">
                  <c:v>344000</c:v>
                </c:pt>
                <c:pt idx="235">
                  <c:v>344000</c:v>
                </c:pt>
                <c:pt idx="236">
                  <c:v>344000</c:v>
                </c:pt>
                <c:pt idx="237">
                  <c:v>341700</c:v>
                </c:pt>
                <c:pt idx="238">
                  <c:v>341700</c:v>
                </c:pt>
                <c:pt idx="239">
                  <c:v>345500</c:v>
                </c:pt>
                <c:pt idx="240">
                  <c:v>345500</c:v>
                </c:pt>
                <c:pt idx="241">
                  <c:v>343300</c:v>
                </c:pt>
                <c:pt idx="242">
                  <c:v>339200</c:v>
                </c:pt>
                <c:pt idx="243">
                  <c:v>339200</c:v>
                </c:pt>
                <c:pt idx="244">
                  <c:v>339200</c:v>
                </c:pt>
                <c:pt idx="245">
                  <c:v>287705</c:v>
                </c:pt>
                <c:pt idx="246">
                  <c:v>287500</c:v>
                </c:pt>
                <c:pt idx="247">
                  <c:v>287500</c:v>
                </c:pt>
                <c:pt idx="248">
                  <c:v>287500</c:v>
                </c:pt>
                <c:pt idx="249">
                  <c:v>342400</c:v>
                </c:pt>
                <c:pt idx="250">
                  <c:v>343100</c:v>
                </c:pt>
                <c:pt idx="251">
                  <c:v>345600</c:v>
                </c:pt>
                <c:pt idx="252">
                  <c:v>348896</c:v>
                </c:pt>
                <c:pt idx="253">
                  <c:v>348896</c:v>
                </c:pt>
                <c:pt idx="254">
                  <c:v>348896</c:v>
                </c:pt>
                <c:pt idx="255">
                  <c:v>348896</c:v>
                </c:pt>
                <c:pt idx="256">
                  <c:v>404500</c:v>
                </c:pt>
                <c:pt idx="257">
                  <c:v>469100</c:v>
                </c:pt>
                <c:pt idx="258">
                  <c:v>469100</c:v>
                </c:pt>
                <c:pt idx="259">
                  <c:v>377500</c:v>
                </c:pt>
                <c:pt idx="260">
                  <c:v>393100</c:v>
                </c:pt>
                <c:pt idx="261">
                  <c:v>517959</c:v>
                </c:pt>
                <c:pt idx="262">
                  <c:v>588050</c:v>
                </c:pt>
                <c:pt idx="263">
                  <c:v>588050</c:v>
                </c:pt>
                <c:pt idx="264">
                  <c:v>588060</c:v>
                </c:pt>
                <c:pt idx="265">
                  <c:v>588090</c:v>
                </c:pt>
                <c:pt idx="266">
                  <c:v>594300</c:v>
                </c:pt>
                <c:pt idx="267">
                  <c:v>589000</c:v>
                </c:pt>
                <c:pt idx="268">
                  <c:v>588300</c:v>
                </c:pt>
                <c:pt idx="269">
                  <c:v>598200</c:v>
                </c:pt>
                <c:pt idx="270">
                  <c:v>598200</c:v>
                </c:pt>
                <c:pt idx="271">
                  <c:v>599500</c:v>
                </c:pt>
                <c:pt idx="272">
                  <c:v>599500</c:v>
                </c:pt>
                <c:pt idx="273">
                  <c:v>484900</c:v>
                </c:pt>
                <c:pt idx="274">
                  <c:v>507600</c:v>
                </c:pt>
                <c:pt idx="275">
                  <c:v>493000</c:v>
                </c:pt>
                <c:pt idx="276">
                  <c:v>424700</c:v>
                </c:pt>
                <c:pt idx="277">
                  <c:v>405700</c:v>
                </c:pt>
                <c:pt idx="278">
                  <c:v>385266</c:v>
                </c:pt>
                <c:pt idx="279">
                  <c:v>472747</c:v>
                </c:pt>
                <c:pt idx="280">
                  <c:v>398600</c:v>
                </c:pt>
                <c:pt idx="281">
                  <c:v>397000</c:v>
                </c:pt>
                <c:pt idx="282">
                  <c:v>391800</c:v>
                </c:pt>
                <c:pt idx="283">
                  <c:v>391800</c:v>
                </c:pt>
                <c:pt idx="284">
                  <c:v>379200</c:v>
                </c:pt>
                <c:pt idx="285">
                  <c:v>379200</c:v>
                </c:pt>
                <c:pt idx="286">
                  <c:v>389300</c:v>
                </c:pt>
                <c:pt idx="287">
                  <c:v>448335</c:v>
                </c:pt>
                <c:pt idx="288">
                  <c:v>502915</c:v>
                </c:pt>
                <c:pt idx="289">
                  <c:v>511300</c:v>
                </c:pt>
                <c:pt idx="290">
                  <c:v>472300</c:v>
                </c:pt>
                <c:pt idx="291">
                  <c:v>370200</c:v>
                </c:pt>
                <c:pt idx="292">
                  <c:v>370200</c:v>
                </c:pt>
                <c:pt idx="293">
                  <c:v>370200</c:v>
                </c:pt>
                <c:pt idx="294">
                  <c:v>370200</c:v>
                </c:pt>
                <c:pt idx="295">
                  <c:v>333700</c:v>
                </c:pt>
                <c:pt idx="296">
                  <c:v>340350</c:v>
                </c:pt>
                <c:pt idx="297">
                  <c:v>363100</c:v>
                </c:pt>
                <c:pt idx="298">
                  <c:v>362300</c:v>
                </c:pt>
                <c:pt idx="299">
                  <c:v>371160</c:v>
                </c:pt>
                <c:pt idx="300">
                  <c:v>371160</c:v>
                </c:pt>
                <c:pt idx="301">
                  <c:v>371140</c:v>
                </c:pt>
                <c:pt idx="302">
                  <c:v>346500</c:v>
                </c:pt>
                <c:pt idx="303">
                  <c:v>340300</c:v>
                </c:pt>
                <c:pt idx="304">
                  <c:v>353100</c:v>
                </c:pt>
                <c:pt idx="305">
                  <c:v>402147</c:v>
                </c:pt>
                <c:pt idx="306">
                  <c:v>398800</c:v>
                </c:pt>
                <c:pt idx="307">
                  <c:v>411500</c:v>
                </c:pt>
                <c:pt idx="308">
                  <c:v>363200</c:v>
                </c:pt>
                <c:pt idx="309">
                  <c:v>375000</c:v>
                </c:pt>
                <c:pt idx="310">
                  <c:v>379200</c:v>
                </c:pt>
                <c:pt idx="311">
                  <c:v>377500</c:v>
                </c:pt>
                <c:pt idx="312">
                  <c:v>389300</c:v>
                </c:pt>
                <c:pt idx="313">
                  <c:v>389300</c:v>
                </c:pt>
                <c:pt idx="314">
                  <c:v>400450</c:v>
                </c:pt>
                <c:pt idx="315">
                  <c:v>372602</c:v>
                </c:pt>
                <c:pt idx="316">
                  <c:v>409600</c:v>
                </c:pt>
                <c:pt idx="317">
                  <c:v>410100</c:v>
                </c:pt>
                <c:pt idx="318">
                  <c:v>409600</c:v>
                </c:pt>
                <c:pt idx="319">
                  <c:v>544300</c:v>
                </c:pt>
                <c:pt idx="320">
                  <c:v>555620</c:v>
                </c:pt>
                <c:pt idx="321">
                  <c:v>520000</c:v>
                </c:pt>
                <c:pt idx="322">
                  <c:v>522000</c:v>
                </c:pt>
                <c:pt idx="323">
                  <c:v>540500</c:v>
                </c:pt>
                <c:pt idx="324">
                  <c:v>543500</c:v>
                </c:pt>
                <c:pt idx="325">
                  <c:v>541700</c:v>
                </c:pt>
                <c:pt idx="326">
                  <c:v>520500</c:v>
                </c:pt>
                <c:pt idx="327">
                  <c:v>518000</c:v>
                </c:pt>
                <c:pt idx="328">
                  <c:v>521709</c:v>
                </c:pt>
                <c:pt idx="329">
                  <c:v>522700</c:v>
                </c:pt>
                <c:pt idx="330">
                  <c:v>323800</c:v>
                </c:pt>
                <c:pt idx="331">
                  <c:v>353700</c:v>
                </c:pt>
                <c:pt idx="332">
                  <c:v>354800</c:v>
                </c:pt>
                <c:pt idx="333">
                  <c:v>325500</c:v>
                </c:pt>
                <c:pt idx="334">
                  <c:v>323600</c:v>
                </c:pt>
                <c:pt idx="335">
                  <c:v>328800</c:v>
                </c:pt>
                <c:pt idx="336">
                  <c:v>344800</c:v>
                </c:pt>
                <c:pt idx="337">
                  <c:v>326200</c:v>
                </c:pt>
                <c:pt idx="338">
                  <c:v>310300</c:v>
                </c:pt>
                <c:pt idx="339">
                  <c:v>357600</c:v>
                </c:pt>
                <c:pt idx="340">
                  <c:v>354900</c:v>
                </c:pt>
                <c:pt idx="341">
                  <c:v>318500</c:v>
                </c:pt>
                <c:pt idx="342">
                  <c:v>311350</c:v>
                </c:pt>
                <c:pt idx="343">
                  <c:v>325500</c:v>
                </c:pt>
                <c:pt idx="344">
                  <c:v>360300</c:v>
                </c:pt>
                <c:pt idx="345">
                  <c:v>357100</c:v>
                </c:pt>
                <c:pt idx="346">
                  <c:v>324950</c:v>
                </c:pt>
                <c:pt idx="347">
                  <c:v>350900</c:v>
                </c:pt>
                <c:pt idx="348">
                  <c:v>310900</c:v>
                </c:pt>
                <c:pt idx="349">
                  <c:v>352900</c:v>
                </c:pt>
                <c:pt idx="350">
                  <c:v>325700</c:v>
                </c:pt>
                <c:pt idx="351">
                  <c:v>355300</c:v>
                </c:pt>
                <c:pt idx="352">
                  <c:v>327800</c:v>
                </c:pt>
                <c:pt idx="353">
                  <c:v>359400</c:v>
                </c:pt>
                <c:pt idx="354">
                  <c:v>335100</c:v>
                </c:pt>
                <c:pt idx="355">
                  <c:v>334283</c:v>
                </c:pt>
                <c:pt idx="356">
                  <c:v>363412</c:v>
                </c:pt>
                <c:pt idx="357">
                  <c:v>335500</c:v>
                </c:pt>
                <c:pt idx="358">
                  <c:v>332937</c:v>
                </c:pt>
                <c:pt idx="359">
                  <c:v>334000</c:v>
                </c:pt>
                <c:pt idx="360">
                  <c:v>332089</c:v>
                </c:pt>
                <c:pt idx="361">
                  <c:v>344869</c:v>
                </c:pt>
                <c:pt idx="362">
                  <c:v>332209</c:v>
                </c:pt>
                <c:pt idx="363">
                  <c:v>333500</c:v>
                </c:pt>
                <c:pt idx="364">
                  <c:v>306550</c:v>
                </c:pt>
                <c:pt idx="365">
                  <c:v>308380</c:v>
                </c:pt>
                <c:pt idx="366">
                  <c:v>322000</c:v>
                </c:pt>
                <c:pt idx="367">
                  <c:v>322000</c:v>
                </c:pt>
                <c:pt idx="368">
                  <c:v>326200</c:v>
                </c:pt>
                <c:pt idx="369">
                  <c:v>367500</c:v>
                </c:pt>
                <c:pt idx="370">
                  <c:v>348900</c:v>
                </c:pt>
                <c:pt idx="371">
                  <c:v>333000</c:v>
                </c:pt>
                <c:pt idx="372">
                  <c:v>333000</c:v>
                </c:pt>
                <c:pt idx="373">
                  <c:v>333000</c:v>
                </c:pt>
                <c:pt idx="374">
                  <c:v>333000</c:v>
                </c:pt>
                <c:pt idx="375">
                  <c:v>326500</c:v>
                </c:pt>
                <c:pt idx="376">
                  <c:v>443200</c:v>
                </c:pt>
                <c:pt idx="377">
                  <c:v>618100</c:v>
                </c:pt>
                <c:pt idx="378">
                  <c:v>638953</c:v>
                </c:pt>
                <c:pt idx="379">
                  <c:v>629560</c:v>
                </c:pt>
                <c:pt idx="380">
                  <c:v>322700</c:v>
                </c:pt>
                <c:pt idx="381">
                  <c:v>359000</c:v>
                </c:pt>
                <c:pt idx="382">
                  <c:v>359000</c:v>
                </c:pt>
                <c:pt idx="383">
                  <c:v>336600</c:v>
                </c:pt>
                <c:pt idx="384">
                  <c:v>336600</c:v>
                </c:pt>
                <c:pt idx="385">
                  <c:v>593400</c:v>
                </c:pt>
                <c:pt idx="386">
                  <c:v>568900</c:v>
                </c:pt>
                <c:pt idx="387">
                  <c:v>627520</c:v>
                </c:pt>
                <c:pt idx="388">
                  <c:v>614800</c:v>
                </c:pt>
                <c:pt idx="389">
                  <c:v>631500</c:v>
                </c:pt>
                <c:pt idx="390">
                  <c:v>631500</c:v>
                </c:pt>
                <c:pt idx="391">
                  <c:v>598700</c:v>
                </c:pt>
                <c:pt idx="392">
                  <c:v>601800</c:v>
                </c:pt>
                <c:pt idx="393">
                  <c:v>611100</c:v>
                </c:pt>
                <c:pt idx="394">
                  <c:v>622700</c:v>
                </c:pt>
                <c:pt idx="395">
                  <c:v>605000</c:v>
                </c:pt>
                <c:pt idx="396">
                  <c:v>332800</c:v>
                </c:pt>
                <c:pt idx="397">
                  <c:v>334600</c:v>
                </c:pt>
                <c:pt idx="398">
                  <c:v>617500</c:v>
                </c:pt>
                <c:pt idx="399">
                  <c:v>617500</c:v>
                </c:pt>
                <c:pt idx="400">
                  <c:v>617500</c:v>
                </c:pt>
                <c:pt idx="401">
                  <c:v>617500</c:v>
                </c:pt>
                <c:pt idx="402">
                  <c:v>617500</c:v>
                </c:pt>
                <c:pt idx="403">
                  <c:v>617500</c:v>
                </c:pt>
                <c:pt idx="404">
                  <c:v>617500</c:v>
                </c:pt>
                <c:pt idx="405">
                  <c:v>617500</c:v>
                </c:pt>
                <c:pt idx="406">
                  <c:v>617500</c:v>
                </c:pt>
                <c:pt idx="407">
                  <c:v>617500</c:v>
                </c:pt>
                <c:pt idx="408">
                  <c:v>617500</c:v>
                </c:pt>
                <c:pt idx="409">
                  <c:v>600500</c:v>
                </c:pt>
                <c:pt idx="410">
                  <c:v>614892</c:v>
                </c:pt>
                <c:pt idx="411">
                  <c:v>426300</c:v>
                </c:pt>
                <c:pt idx="412">
                  <c:v>350400</c:v>
                </c:pt>
                <c:pt idx="413">
                  <c:v>383000</c:v>
                </c:pt>
                <c:pt idx="414">
                  <c:v>377100</c:v>
                </c:pt>
                <c:pt idx="415">
                  <c:v>377100</c:v>
                </c:pt>
                <c:pt idx="416">
                  <c:v>404070</c:v>
                </c:pt>
                <c:pt idx="417">
                  <c:v>380500</c:v>
                </c:pt>
                <c:pt idx="418">
                  <c:v>416000</c:v>
                </c:pt>
                <c:pt idx="419">
                  <c:v>415600</c:v>
                </c:pt>
                <c:pt idx="420">
                  <c:v>416759</c:v>
                </c:pt>
                <c:pt idx="421">
                  <c:v>428400</c:v>
                </c:pt>
                <c:pt idx="422">
                  <c:v>376600</c:v>
                </c:pt>
                <c:pt idx="423">
                  <c:v>405500</c:v>
                </c:pt>
                <c:pt idx="424">
                  <c:v>383400</c:v>
                </c:pt>
                <c:pt idx="425">
                  <c:v>394100</c:v>
                </c:pt>
                <c:pt idx="426">
                  <c:v>396800</c:v>
                </c:pt>
                <c:pt idx="427">
                  <c:v>363500</c:v>
                </c:pt>
                <c:pt idx="428">
                  <c:v>373300</c:v>
                </c:pt>
                <c:pt idx="429">
                  <c:v>396300</c:v>
                </c:pt>
                <c:pt idx="430">
                  <c:v>396400</c:v>
                </c:pt>
                <c:pt idx="431">
                  <c:v>396400</c:v>
                </c:pt>
                <c:pt idx="432">
                  <c:v>426800</c:v>
                </c:pt>
                <c:pt idx="433">
                  <c:v>368100</c:v>
                </c:pt>
                <c:pt idx="434">
                  <c:v>368100</c:v>
                </c:pt>
                <c:pt idx="435">
                  <c:v>368100</c:v>
                </c:pt>
                <c:pt idx="436">
                  <c:v>368100</c:v>
                </c:pt>
                <c:pt idx="437">
                  <c:v>410000</c:v>
                </c:pt>
                <c:pt idx="438">
                  <c:v>369700</c:v>
                </c:pt>
                <c:pt idx="439">
                  <c:v>381600</c:v>
                </c:pt>
                <c:pt idx="440">
                  <c:v>384300</c:v>
                </c:pt>
                <c:pt idx="441">
                  <c:v>378200</c:v>
                </c:pt>
                <c:pt idx="442">
                  <c:v>380400</c:v>
                </c:pt>
                <c:pt idx="443">
                  <c:v>387100</c:v>
                </c:pt>
                <c:pt idx="444">
                  <c:v>372600</c:v>
                </c:pt>
                <c:pt idx="445">
                  <c:v>367900</c:v>
                </c:pt>
                <c:pt idx="446">
                  <c:v>386200</c:v>
                </c:pt>
                <c:pt idx="447">
                  <c:v>387000</c:v>
                </c:pt>
                <c:pt idx="448">
                  <c:v>401700</c:v>
                </c:pt>
                <c:pt idx="449">
                  <c:v>401700</c:v>
                </c:pt>
                <c:pt idx="450">
                  <c:v>384466</c:v>
                </c:pt>
                <c:pt idx="451">
                  <c:v>384200</c:v>
                </c:pt>
                <c:pt idx="452">
                  <c:v>386000</c:v>
                </c:pt>
                <c:pt idx="453">
                  <c:v>386200</c:v>
                </c:pt>
                <c:pt idx="454">
                  <c:v>392500</c:v>
                </c:pt>
                <c:pt idx="455">
                  <c:v>379900</c:v>
                </c:pt>
                <c:pt idx="456">
                  <c:v>402400</c:v>
                </c:pt>
                <c:pt idx="457">
                  <c:v>402400</c:v>
                </c:pt>
                <c:pt idx="458">
                  <c:v>395900</c:v>
                </c:pt>
                <c:pt idx="459">
                  <c:v>383500</c:v>
                </c:pt>
                <c:pt idx="460">
                  <c:v>386500</c:v>
                </c:pt>
                <c:pt idx="461">
                  <c:v>364800</c:v>
                </c:pt>
                <c:pt idx="462">
                  <c:v>381000</c:v>
                </c:pt>
                <c:pt idx="463">
                  <c:v>385536</c:v>
                </c:pt>
                <c:pt idx="464">
                  <c:v>384900</c:v>
                </c:pt>
                <c:pt idx="465">
                  <c:v>401000</c:v>
                </c:pt>
                <c:pt idx="466">
                  <c:v>401000</c:v>
                </c:pt>
                <c:pt idx="467">
                  <c:v>401200</c:v>
                </c:pt>
                <c:pt idx="468">
                  <c:v>388000</c:v>
                </c:pt>
                <c:pt idx="469">
                  <c:v>387600</c:v>
                </c:pt>
                <c:pt idx="470">
                  <c:v>329500</c:v>
                </c:pt>
                <c:pt idx="471">
                  <c:v>399200</c:v>
                </c:pt>
                <c:pt idx="472">
                  <c:v>387800</c:v>
                </c:pt>
                <c:pt idx="473">
                  <c:v>387700</c:v>
                </c:pt>
                <c:pt idx="474">
                  <c:v>379400</c:v>
                </c:pt>
                <c:pt idx="475">
                  <c:v>379400</c:v>
                </c:pt>
                <c:pt idx="476">
                  <c:v>370900</c:v>
                </c:pt>
                <c:pt idx="477">
                  <c:v>385300</c:v>
                </c:pt>
                <c:pt idx="478">
                  <c:v>396500</c:v>
                </c:pt>
                <c:pt idx="479">
                  <c:v>395100</c:v>
                </c:pt>
                <c:pt idx="480">
                  <c:v>376800</c:v>
                </c:pt>
                <c:pt idx="481">
                  <c:v>376800</c:v>
                </c:pt>
                <c:pt idx="482">
                  <c:v>389300</c:v>
                </c:pt>
                <c:pt idx="483">
                  <c:v>365200</c:v>
                </c:pt>
                <c:pt idx="484">
                  <c:v>432400</c:v>
                </c:pt>
                <c:pt idx="485">
                  <c:v>423200</c:v>
                </c:pt>
                <c:pt idx="486">
                  <c:v>441000</c:v>
                </c:pt>
                <c:pt idx="487">
                  <c:v>432100</c:v>
                </c:pt>
                <c:pt idx="488">
                  <c:v>433400</c:v>
                </c:pt>
                <c:pt idx="489">
                  <c:v>433200</c:v>
                </c:pt>
                <c:pt idx="490">
                  <c:v>432000</c:v>
                </c:pt>
                <c:pt idx="491">
                  <c:v>445800</c:v>
                </c:pt>
                <c:pt idx="492">
                  <c:v>370600</c:v>
                </c:pt>
                <c:pt idx="493">
                  <c:v>381000</c:v>
                </c:pt>
                <c:pt idx="494">
                  <c:v>381800</c:v>
                </c:pt>
                <c:pt idx="495">
                  <c:v>381800</c:v>
                </c:pt>
                <c:pt idx="496">
                  <c:v>381900</c:v>
                </c:pt>
                <c:pt idx="497">
                  <c:v>404200</c:v>
                </c:pt>
                <c:pt idx="498">
                  <c:v>381200</c:v>
                </c:pt>
                <c:pt idx="499">
                  <c:v>380710</c:v>
                </c:pt>
                <c:pt idx="500">
                  <c:v>382800</c:v>
                </c:pt>
                <c:pt idx="501">
                  <c:v>379900</c:v>
                </c:pt>
                <c:pt idx="502">
                  <c:v>380300</c:v>
                </c:pt>
                <c:pt idx="503">
                  <c:v>379600</c:v>
                </c:pt>
                <c:pt idx="504">
                  <c:v>381900</c:v>
                </c:pt>
                <c:pt idx="505">
                  <c:v>388600</c:v>
                </c:pt>
                <c:pt idx="506">
                  <c:v>381400</c:v>
                </c:pt>
                <c:pt idx="507">
                  <c:v>381800</c:v>
                </c:pt>
                <c:pt idx="508">
                  <c:v>381700</c:v>
                </c:pt>
                <c:pt idx="509">
                  <c:v>381400</c:v>
                </c:pt>
                <c:pt idx="510">
                  <c:v>380710</c:v>
                </c:pt>
                <c:pt idx="511">
                  <c:v>380700</c:v>
                </c:pt>
                <c:pt idx="512">
                  <c:v>382500</c:v>
                </c:pt>
                <c:pt idx="513">
                  <c:v>381500</c:v>
                </c:pt>
                <c:pt idx="514">
                  <c:v>381400</c:v>
                </c:pt>
                <c:pt idx="515">
                  <c:v>381600</c:v>
                </c:pt>
                <c:pt idx="516">
                  <c:v>431100</c:v>
                </c:pt>
                <c:pt idx="517">
                  <c:v>419000</c:v>
                </c:pt>
                <c:pt idx="518">
                  <c:v>413800</c:v>
                </c:pt>
                <c:pt idx="519">
                  <c:v>393000</c:v>
                </c:pt>
                <c:pt idx="520">
                  <c:v>380400</c:v>
                </c:pt>
                <c:pt idx="521">
                  <c:v>380300</c:v>
                </c:pt>
                <c:pt idx="522">
                  <c:v>380200</c:v>
                </c:pt>
                <c:pt idx="523">
                  <c:v>369100</c:v>
                </c:pt>
                <c:pt idx="524">
                  <c:v>369200</c:v>
                </c:pt>
                <c:pt idx="525">
                  <c:v>399600</c:v>
                </c:pt>
                <c:pt idx="526">
                  <c:v>425100</c:v>
                </c:pt>
                <c:pt idx="527">
                  <c:v>380200</c:v>
                </c:pt>
                <c:pt idx="528">
                  <c:v>380000</c:v>
                </c:pt>
                <c:pt idx="529">
                  <c:v>401000</c:v>
                </c:pt>
                <c:pt idx="530">
                  <c:v>398200</c:v>
                </c:pt>
                <c:pt idx="531">
                  <c:v>401841</c:v>
                </c:pt>
                <c:pt idx="532">
                  <c:v>376208</c:v>
                </c:pt>
                <c:pt idx="533">
                  <c:v>369900</c:v>
                </c:pt>
                <c:pt idx="534">
                  <c:v>369900</c:v>
                </c:pt>
                <c:pt idx="535">
                  <c:v>368900</c:v>
                </c:pt>
                <c:pt idx="536">
                  <c:v>369200</c:v>
                </c:pt>
                <c:pt idx="537">
                  <c:v>368600</c:v>
                </c:pt>
                <c:pt idx="538">
                  <c:v>368800</c:v>
                </c:pt>
                <c:pt idx="539">
                  <c:v>376300</c:v>
                </c:pt>
                <c:pt idx="540">
                  <c:v>376900</c:v>
                </c:pt>
                <c:pt idx="541">
                  <c:v>372700</c:v>
                </c:pt>
                <c:pt idx="542">
                  <c:v>333800</c:v>
                </c:pt>
                <c:pt idx="543">
                  <c:v>336700</c:v>
                </c:pt>
                <c:pt idx="544">
                  <c:v>310200</c:v>
                </c:pt>
                <c:pt idx="545">
                  <c:v>315900</c:v>
                </c:pt>
                <c:pt idx="546">
                  <c:v>336200</c:v>
                </c:pt>
                <c:pt idx="547">
                  <c:v>338500</c:v>
                </c:pt>
                <c:pt idx="548">
                  <c:v>336500</c:v>
                </c:pt>
                <c:pt idx="549">
                  <c:v>336600</c:v>
                </c:pt>
                <c:pt idx="550">
                  <c:v>365086</c:v>
                </c:pt>
                <c:pt idx="551">
                  <c:v>363762</c:v>
                </c:pt>
                <c:pt idx="552">
                  <c:v>365245</c:v>
                </c:pt>
                <c:pt idx="553">
                  <c:v>367790</c:v>
                </c:pt>
                <c:pt idx="554">
                  <c:v>363263</c:v>
                </c:pt>
                <c:pt idx="555">
                  <c:v>366931</c:v>
                </c:pt>
                <c:pt idx="556">
                  <c:v>333100</c:v>
                </c:pt>
                <c:pt idx="557">
                  <c:v>333500</c:v>
                </c:pt>
                <c:pt idx="558">
                  <c:v>362800</c:v>
                </c:pt>
                <c:pt idx="559">
                  <c:v>363200</c:v>
                </c:pt>
                <c:pt idx="560">
                  <c:v>348700</c:v>
                </c:pt>
                <c:pt idx="561">
                  <c:v>347900</c:v>
                </c:pt>
                <c:pt idx="562">
                  <c:v>350400</c:v>
                </c:pt>
                <c:pt idx="563">
                  <c:v>336000</c:v>
                </c:pt>
                <c:pt idx="564">
                  <c:v>343100</c:v>
                </c:pt>
                <c:pt idx="565">
                  <c:v>323400</c:v>
                </c:pt>
                <c:pt idx="566">
                  <c:v>333500</c:v>
                </c:pt>
                <c:pt idx="567">
                  <c:v>321968</c:v>
                </c:pt>
                <c:pt idx="568">
                  <c:v>329100</c:v>
                </c:pt>
                <c:pt idx="569">
                  <c:v>334800</c:v>
                </c:pt>
                <c:pt idx="570">
                  <c:v>351200</c:v>
                </c:pt>
                <c:pt idx="571">
                  <c:v>350600</c:v>
                </c:pt>
                <c:pt idx="572">
                  <c:v>350500</c:v>
                </c:pt>
                <c:pt idx="573">
                  <c:v>348206</c:v>
                </c:pt>
                <c:pt idx="574">
                  <c:v>347800</c:v>
                </c:pt>
                <c:pt idx="575">
                  <c:v>355000</c:v>
                </c:pt>
                <c:pt idx="576">
                  <c:v>349000</c:v>
                </c:pt>
                <c:pt idx="577">
                  <c:v>350400</c:v>
                </c:pt>
                <c:pt idx="578">
                  <c:v>351000</c:v>
                </c:pt>
                <c:pt idx="579">
                  <c:v>351000</c:v>
                </c:pt>
                <c:pt idx="580">
                  <c:v>351000</c:v>
                </c:pt>
                <c:pt idx="581">
                  <c:v>349700</c:v>
                </c:pt>
                <c:pt idx="582">
                  <c:v>327000</c:v>
                </c:pt>
                <c:pt idx="583">
                  <c:v>335100</c:v>
                </c:pt>
                <c:pt idx="584">
                  <c:v>347700</c:v>
                </c:pt>
                <c:pt idx="585">
                  <c:v>349700</c:v>
                </c:pt>
                <c:pt idx="586">
                  <c:v>343700</c:v>
                </c:pt>
                <c:pt idx="587">
                  <c:v>346700</c:v>
                </c:pt>
                <c:pt idx="588">
                  <c:v>343400</c:v>
                </c:pt>
                <c:pt idx="589">
                  <c:v>346100</c:v>
                </c:pt>
                <c:pt idx="590">
                  <c:v>349700</c:v>
                </c:pt>
                <c:pt idx="591">
                  <c:v>347200</c:v>
                </c:pt>
                <c:pt idx="592">
                  <c:v>318000</c:v>
                </c:pt>
                <c:pt idx="593">
                  <c:v>347800</c:v>
                </c:pt>
                <c:pt idx="594">
                  <c:v>327000</c:v>
                </c:pt>
                <c:pt idx="595">
                  <c:v>349700</c:v>
                </c:pt>
                <c:pt idx="596">
                  <c:v>343400</c:v>
                </c:pt>
                <c:pt idx="597">
                  <c:v>342000</c:v>
                </c:pt>
                <c:pt idx="598">
                  <c:v>336600</c:v>
                </c:pt>
                <c:pt idx="599">
                  <c:v>337600</c:v>
                </c:pt>
                <c:pt idx="600">
                  <c:v>337900</c:v>
                </c:pt>
                <c:pt idx="601">
                  <c:v>337600</c:v>
                </c:pt>
                <c:pt idx="602">
                  <c:v>337600</c:v>
                </c:pt>
                <c:pt idx="603">
                  <c:v>337600</c:v>
                </c:pt>
                <c:pt idx="604">
                  <c:v>337700</c:v>
                </c:pt>
                <c:pt idx="605">
                  <c:v>337800</c:v>
                </c:pt>
                <c:pt idx="606">
                  <c:v>337900</c:v>
                </c:pt>
                <c:pt idx="607">
                  <c:v>338200</c:v>
                </c:pt>
                <c:pt idx="608">
                  <c:v>338600</c:v>
                </c:pt>
                <c:pt idx="609">
                  <c:v>315300</c:v>
                </c:pt>
                <c:pt idx="610">
                  <c:v>315800</c:v>
                </c:pt>
                <c:pt idx="611">
                  <c:v>325300</c:v>
                </c:pt>
                <c:pt idx="612">
                  <c:v>326600</c:v>
                </c:pt>
                <c:pt idx="613">
                  <c:v>326300</c:v>
                </c:pt>
                <c:pt idx="614">
                  <c:v>329300</c:v>
                </c:pt>
                <c:pt idx="615">
                  <c:v>326700</c:v>
                </c:pt>
                <c:pt idx="616">
                  <c:v>308300</c:v>
                </c:pt>
                <c:pt idx="617">
                  <c:v>329200</c:v>
                </c:pt>
                <c:pt idx="618">
                  <c:v>326800</c:v>
                </c:pt>
                <c:pt idx="619">
                  <c:v>318300</c:v>
                </c:pt>
                <c:pt idx="620">
                  <c:v>327100</c:v>
                </c:pt>
                <c:pt idx="621">
                  <c:v>336600</c:v>
                </c:pt>
                <c:pt idx="622">
                  <c:v>329807</c:v>
                </c:pt>
                <c:pt idx="623">
                  <c:v>336400</c:v>
                </c:pt>
                <c:pt idx="624">
                  <c:v>337700</c:v>
                </c:pt>
                <c:pt idx="625">
                  <c:v>316200</c:v>
                </c:pt>
                <c:pt idx="626">
                  <c:v>318300</c:v>
                </c:pt>
                <c:pt idx="627">
                  <c:v>325700</c:v>
                </c:pt>
                <c:pt idx="628">
                  <c:v>345400</c:v>
                </c:pt>
                <c:pt idx="629">
                  <c:v>326100</c:v>
                </c:pt>
                <c:pt idx="630">
                  <c:v>329300</c:v>
                </c:pt>
                <c:pt idx="631">
                  <c:v>316200</c:v>
                </c:pt>
                <c:pt idx="632">
                  <c:v>315300</c:v>
                </c:pt>
                <c:pt idx="633">
                  <c:v>310800</c:v>
                </c:pt>
                <c:pt idx="634">
                  <c:v>308600</c:v>
                </c:pt>
                <c:pt idx="635">
                  <c:v>308600</c:v>
                </c:pt>
                <c:pt idx="636">
                  <c:v>308600</c:v>
                </c:pt>
                <c:pt idx="637">
                  <c:v>331000</c:v>
                </c:pt>
                <c:pt idx="638">
                  <c:v>336600</c:v>
                </c:pt>
                <c:pt idx="639">
                  <c:v>306600</c:v>
                </c:pt>
                <c:pt idx="640">
                  <c:v>329300</c:v>
                </c:pt>
                <c:pt idx="641">
                  <c:v>327000</c:v>
                </c:pt>
                <c:pt idx="642">
                  <c:v>327900</c:v>
                </c:pt>
                <c:pt idx="643">
                  <c:v>320200</c:v>
                </c:pt>
                <c:pt idx="644">
                  <c:v>345200</c:v>
                </c:pt>
                <c:pt idx="645">
                  <c:v>310700</c:v>
                </c:pt>
                <c:pt idx="646">
                  <c:v>310800</c:v>
                </c:pt>
                <c:pt idx="647">
                  <c:v>308400</c:v>
                </c:pt>
                <c:pt idx="648">
                  <c:v>308600</c:v>
                </c:pt>
                <c:pt idx="649">
                  <c:v>336600</c:v>
                </c:pt>
                <c:pt idx="650">
                  <c:v>337700</c:v>
                </c:pt>
                <c:pt idx="651">
                  <c:v>310800</c:v>
                </c:pt>
                <c:pt idx="652">
                  <c:v>336600</c:v>
                </c:pt>
                <c:pt idx="653">
                  <c:v>356431</c:v>
                </c:pt>
                <c:pt idx="654">
                  <c:v>318500</c:v>
                </c:pt>
                <c:pt idx="655">
                  <c:v>322200</c:v>
                </c:pt>
                <c:pt idx="656">
                  <c:v>339300</c:v>
                </c:pt>
                <c:pt idx="657">
                  <c:v>334800</c:v>
                </c:pt>
                <c:pt idx="658">
                  <c:v>330300</c:v>
                </c:pt>
                <c:pt idx="659">
                  <c:v>347800</c:v>
                </c:pt>
                <c:pt idx="660">
                  <c:v>348300</c:v>
                </c:pt>
                <c:pt idx="661">
                  <c:v>348400</c:v>
                </c:pt>
                <c:pt idx="662">
                  <c:v>348400</c:v>
                </c:pt>
                <c:pt idx="663">
                  <c:v>347700</c:v>
                </c:pt>
                <c:pt idx="664">
                  <c:v>364100</c:v>
                </c:pt>
                <c:pt idx="665">
                  <c:v>343700</c:v>
                </c:pt>
                <c:pt idx="666">
                  <c:v>341900</c:v>
                </c:pt>
                <c:pt idx="667">
                  <c:v>345900</c:v>
                </c:pt>
                <c:pt idx="668">
                  <c:v>346700</c:v>
                </c:pt>
                <c:pt idx="669">
                  <c:v>342800</c:v>
                </c:pt>
                <c:pt idx="670">
                  <c:v>353300</c:v>
                </c:pt>
                <c:pt idx="671">
                  <c:v>345500</c:v>
                </c:pt>
                <c:pt idx="672">
                  <c:v>345600</c:v>
                </c:pt>
                <c:pt idx="673">
                  <c:v>345500</c:v>
                </c:pt>
                <c:pt idx="674">
                  <c:v>353400</c:v>
                </c:pt>
                <c:pt idx="675">
                  <c:v>343100</c:v>
                </c:pt>
                <c:pt idx="676">
                  <c:v>343200</c:v>
                </c:pt>
                <c:pt idx="677">
                  <c:v>325400</c:v>
                </c:pt>
                <c:pt idx="678">
                  <c:v>325100</c:v>
                </c:pt>
                <c:pt idx="679">
                  <c:v>351000</c:v>
                </c:pt>
                <c:pt idx="680">
                  <c:v>351200</c:v>
                </c:pt>
                <c:pt idx="681">
                  <c:v>351100</c:v>
                </c:pt>
                <c:pt idx="682">
                  <c:v>351200</c:v>
                </c:pt>
                <c:pt idx="683">
                  <c:v>296200</c:v>
                </c:pt>
                <c:pt idx="684">
                  <c:v>300300</c:v>
                </c:pt>
                <c:pt idx="685">
                  <c:v>300400</c:v>
                </c:pt>
                <c:pt idx="686">
                  <c:v>322600</c:v>
                </c:pt>
                <c:pt idx="687">
                  <c:v>324100</c:v>
                </c:pt>
                <c:pt idx="688">
                  <c:v>324200</c:v>
                </c:pt>
                <c:pt idx="689">
                  <c:v>325600</c:v>
                </c:pt>
                <c:pt idx="690">
                  <c:v>343900</c:v>
                </c:pt>
                <c:pt idx="691">
                  <c:v>345900</c:v>
                </c:pt>
                <c:pt idx="692">
                  <c:v>345900</c:v>
                </c:pt>
                <c:pt idx="693">
                  <c:v>346600</c:v>
                </c:pt>
                <c:pt idx="694">
                  <c:v>346700</c:v>
                </c:pt>
                <c:pt idx="695">
                  <c:v>346800</c:v>
                </c:pt>
                <c:pt idx="696">
                  <c:v>346900</c:v>
                </c:pt>
                <c:pt idx="697">
                  <c:v>322000</c:v>
                </c:pt>
                <c:pt idx="698">
                  <c:v>321600</c:v>
                </c:pt>
                <c:pt idx="699">
                  <c:v>321700</c:v>
                </c:pt>
                <c:pt idx="700">
                  <c:v>593300</c:v>
                </c:pt>
                <c:pt idx="701">
                  <c:v>590300</c:v>
                </c:pt>
                <c:pt idx="702">
                  <c:v>603700</c:v>
                </c:pt>
                <c:pt idx="703">
                  <c:v>595000</c:v>
                </c:pt>
                <c:pt idx="704">
                  <c:v>604000</c:v>
                </c:pt>
                <c:pt idx="705">
                  <c:v>572600</c:v>
                </c:pt>
                <c:pt idx="706">
                  <c:v>562900</c:v>
                </c:pt>
                <c:pt idx="707">
                  <c:v>522700</c:v>
                </c:pt>
                <c:pt idx="708">
                  <c:v>522900</c:v>
                </c:pt>
                <c:pt idx="709">
                  <c:v>519900</c:v>
                </c:pt>
                <c:pt idx="710">
                  <c:v>562800</c:v>
                </c:pt>
                <c:pt idx="711">
                  <c:v>556200</c:v>
                </c:pt>
                <c:pt idx="712">
                  <c:v>566000</c:v>
                </c:pt>
                <c:pt idx="713">
                  <c:v>572400</c:v>
                </c:pt>
                <c:pt idx="714">
                  <c:v>564000</c:v>
                </c:pt>
                <c:pt idx="715">
                  <c:v>556000</c:v>
                </c:pt>
                <c:pt idx="716">
                  <c:v>555700</c:v>
                </c:pt>
                <c:pt idx="717">
                  <c:v>555200</c:v>
                </c:pt>
                <c:pt idx="718">
                  <c:v>566400</c:v>
                </c:pt>
                <c:pt idx="719">
                  <c:v>555500</c:v>
                </c:pt>
                <c:pt idx="720">
                  <c:v>555100</c:v>
                </c:pt>
                <c:pt idx="721">
                  <c:v>553700</c:v>
                </c:pt>
                <c:pt idx="722">
                  <c:v>553700</c:v>
                </c:pt>
                <c:pt idx="723">
                  <c:v>564100</c:v>
                </c:pt>
                <c:pt idx="724">
                  <c:v>524400</c:v>
                </c:pt>
                <c:pt idx="725">
                  <c:v>551700</c:v>
                </c:pt>
                <c:pt idx="726">
                  <c:v>544500</c:v>
                </c:pt>
                <c:pt idx="727">
                  <c:v>544200</c:v>
                </c:pt>
                <c:pt idx="728">
                  <c:v>554800</c:v>
                </c:pt>
                <c:pt idx="729">
                  <c:v>559700</c:v>
                </c:pt>
                <c:pt idx="730">
                  <c:v>562400</c:v>
                </c:pt>
                <c:pt idx="731">
                  <c:v>564200</c:v>
                </c:pt>
                <c:pt idx="732">
                  <c:v>553700</c:v>
                </c:pt>
                <c:pt idx="733">
                  <c:v>566100</c:v>
                </c:pt>
                <c:pt idx="734">
                  <c:v>559500</c:v>
                </c:pt>
                <c:pt idx="735">
                  <c:v>557400</c:v>
                </c:pt>
                <c:pt idx="736">
                  <c:v>579200</c:v>
                </c:pt>
                <c:pt idx="737">
                  <c:v>537800</c:v>
                </c:pt>
                <c:pt idx="738">
                  <c:v>593200</c:v>
                </c:pt>
                <c:pt idx="739">
                  <c:v>593400</c:v>
                </c:pt>
                <c:pt idx="740">
                  <c:v>604900</c:v>
                </c:pt>
                <c:pt idx="741">
                  <c:v>605000</c:v>
                </c:pt>
                <c:pt idx="742">
                  <c:v>603800</c:v>
                </c:pt>
                <c:pt idx="743">
                  <c:v>604100</c:v>
                </c:pt>
                <c:pt idx="744">
                  <c:v>611610</c:v>
                </c:pt>
                <c:pt idx="745">
                  <c:v>611610</c:v>
                </c:pt>
                <c:pt idx="746">
                  <c:v>604100</c:v>
                </c:pt>
                <c:pt idx="747">
                  <c:v>604200</c:v>
                </c:pt>
                <c:pt idx="748">
                  <c:v>593400</c:v>
                </c:pt>
                <c:pt idx="749">
                  <c:v>529100</c:v>
                </c:pt>
                <c:pt idx="750">
                  <c:v>587600</c:v>
                </c:pt>
              </c:numCache>
            </c:numRef>
          </c:xVal>
          <c:yVal>
            <c:numRef>
              <c:f>'All sites'!$D$2:$D$752</c:f>
              <c:numCache>
                <c:formatCode>General</c:formatCode>
                <c:ptCount val="751"/>
                <c:pt idx="0">
                  <c:v>166820</c:v>
                </c:pt>
                <c:pt idx="1">
                  <c:v>166440</c:v>
                </c:pt>
                <c:pt idx="2">
                  <c:v>288385</c:v>
                </c:pt>
                <c:pt idx="3">
                  <c:v>80746</c:v>
                </c:pt>
                <c:pt idx="4">
                  <c:v>78415</c:v>
                </c:pt>
                <c:pt idx="5">
                  <c:v>81191</c:v>
                </c:pt>
                <c:pt idx="6">
                  <c:v>81191</c:v>
                </c:pt>
                <c:pt idx="7">
                  <c:v>81191</c:v>
                </c:pt>
                <c:pt idx="8">
                  <c:v>61000</c:v>
                </c:pt>
                <c:pt idx="9">
                  <c:v>76500</c:v>
                </c:pt>
                <c:pt idx="10">
                  <c:v>76500</c:v>
                </c:pt>
                <c:pt idx="11">
                  <c:v>170755</c:v>
                </c:pt>
                <c:pt idx="12">
                  <c:v>364300</c:v>
                </c:pt>
                <c:pt idx="13">
                  <c:v>350300</c:v>
                </c:pt>
                <c:pt idx="14">
                  <c:v>381500</c:v>
                </c:pt>
                <c:pt idx="15">
                  <c:v>393300</c:v>
                </c:pt>
                <c:pt idx="16">
                  <c:v>371500</c:v>
                </c:pt>
                <c:pt idx="17">
                  <c:v>361400</c:v>
                </c:pt>
                <c:pt idx="18">
                  <c:v>374500</c:v>
                </c:pt>
                <c:pt idx="19">
                  <c:v>373100</c:v>
                </c:pt>
                <c:pt idx="20">
                  <c:v>358000</c:v>
                </c:pt>
                <c:pt idx="21">
                  <c:v>372200</c:v>
                </c:pt>
                <c:pt idx="22">
                  <c:v>369600</c:v>
                </c:pt>
                <c:pt idx="23">
                  <c:v>352550</c:v>
                </c:pt>
                <c:pt idx="24">
                  <c:v>391500</c:v>
                </c:pt>
                <c:pt idx="25">
                  <c:v>31600</c:v>
                </c:pt>
                <c:pt idx="26">
                  <c:v>70800</c:v>
                </c:pt>
                <c:pt idx="27">
                  <c:v>70800</c:v>
                </c:pt>
                <c:pt idx="28">
                  <c:v>74700</c:v>
                </c:pt>
                <c:pt idx="29">
                  <c:v>74700</c:v>
                </c:pt>
                <c:pt idx="30">
                  <c:v>74700</c:v>
                </c:pt>
                <c:pt idx="31">
                  <c:v>74700</c:v>
                </c:pt>
                <c:pt idx="32">
                  <c:v>74700</c:v>
                </c:pt>
                <c:pt idx="33">
                  <c:v>74400</c:v>
                </c:pt>
                <c:pt idx="34">
                  <c:v>74443</c:v>
                </c:pt>
                <c:pt idx="35">
                  <c:v>80360</c:v>
                </c:pt>
                <c:pt idx="36">
                  <c:v>83250</c:v>
                </c:pt>
                <c:pt idx="37">
                  <c:v>86230</c:v>
                </c:pt>
                <c:pt idx="38">
                  <c:v>81520</c:v>
                </c:pt>
                <c:pt idx="39">
                  <c:v>82630</c:v>
                </c:pt>
                <c:pt idx="40">
                  <c:v>86500</c:v>
                </c:pt>
                <c:pt idx="41">
                  <c:v>86500</c:v>
                </c:pt>
                <c:pt idx="42">
                  <c:v>69100</c:v>
                </c:pt>
                <c:pt idx="43">
                  <c:v>84700</c:v>
                </c:pt>
                <c:pt idx="44">
                  <c:v>72730</c:v>
                </c:pt>
                <c:pt idx="45">
                  <c:v>84200</c:v>
                </c:pt>
                <c:pt idx="46">
                  <c:v>83996</c:v>
                </c:pt>
                <c:pt idx="47">
                  <c:v>371500</c:v>
                </c:pt>
                <c:pt idx="48">
                  <c:v>365400</c:v>
                </c:pt>
                <c:pt idx="49">
                  <c:v>387600</c:v>
                </c:pt>
                <c:pt idx="50">
                  <c:v>392800</c:v>
                </c:pt>
                <c:pt idx="51">
                  <c:v>383190</c:v>
                </c:pt>
                <c:pt idx="52">
                  <c:v>378440</c:v>
                </c:pt>
                <c:pt idx="53">
                  <c:v>374060</c:v>
                </c:pt>
                <c:pt idx="54">
                  <c:v>368800</c:v>
                </c:pt>
                <c:pt idx="55">
                  <c:v>377470</c:v>
                </c:pt>
                <c:pt idx="56">
                  <c:v>378410</c:v>
                </c:pt>
                <c:pt idx="57">
                  <c:v>116420</c:v>
                </c:pt>
                <c:pt idx="58">
                  <c:v>121630</c:v>
                </c:pt>
                <c:pt idx="59">
                  <c:v>120760</c:v>
                </c:pt>
                <c:pt idx="60">
                  <c:v>121240</c:v>
                </c:pt>
                <c:pt idx="61">
                  <c:v>44777</c:v>
                </c:pt>
                <c:pt idx="62">
                  <c:v>53750</c:v>
                </c:pt>
                <c:pt idx="63">
                  <c:v>125300</c:v>
                </c:pt>
                <c:pt idx="64">
                  <c:v>136070</c:v>
                </c:pt>
                <c:pt idx="65">
                  <c:v>186380</c:v>
                </c:pt>
                <c:pt idx="66">
                  <c:v>87900</c:v>
                </c:pt>
                <c:pt idx="67">
                  <c:v>143610</c:v>
                </c:pt>
                <c:pt idx="68">
                  <c:v>115730</c:v>
                </c:pt>
                <c:pt idx="69">
                  <c:v>117500</c:v>
                </c:pt>
                <c:pt idx="70">
                  <c:v>108963</c:v>
                </c:pt>
                <c:pt idx="71">
                  <c:v>115200</c:v>
                </c:pt>
                <c:pt idx="72">
                  <c:v>115100</c:v>
                </c:pt>
                <c:pt idx="73">
                  <c:v>116800</c:v>
                </c:pt>
                <c:pt idx="74">
                  <c:v>115230</c:v>
                </c:pt>
                <c:pt idx="75">
                  <c:v>121716</c:v>
                </c:pt>
                <c:pt idx="76">
                  <c:v>117625</c:v>
                </c:pt>
                <c:pt idx="77">
                  <c:v>109228</c:v>
                </c:pt>
                <c:pt idx="78">
                  <c:v>109228</c:v>
                </c:pt>
                <c:pt idx="79">
                  <c:v>120500</c:v>
                </c:pt>
                <c:pt idx="80">
                  <c:v>122700</c:v>
                </c:pt>
                <c:pt idx="81">
                  <c:v>122800</c:v>
                </c:pt>
                <c:pt idx="82">
                  <c:v>121400</c:v>
                </c:pt>
                <c:pt idx="83">
                  <c:v>120500</c:v>
                </c:pt>
                <c:pt idx="84">
                  <c:v>429300</c:v>
                </c:pt>
                <c:pt idx="85">
                  <c:v>432100</c:v>
                </c:pt>
                <c:pt idx="86">
                  <c:v>432130</c:v>
                </c:pt>
                <c:pt idx="87">
                  <c:v>424750</c:v>
                </c:pt>
                <c:pt idx="88">
                  <c:v>424750</c:v>
                </c:pt>
                <c:pt idx="89">
                  <c:v>414700</c:v>
                </c:pt>
                <c:pt idx="90">
                  <c:v>417600</c:v>
                </c:pt>
                <c:pt idx="91">
                  <c:v>467600</c:v>
                </c:pt>
                <c:pt idx="92">
                  <c:v>227900</c:v>
                </c:pt>
                <c:pt idx="93">
                  <c:v>199900</c:v>
                </c:pt>
                <c:pt idx="94">
                  <c:v>188195</c:v>
                </c:pt>
                <c:pt idx="95">
                  <c:v>180700</c:v>
                </c:pt>
                <c:pt idx="96">
                  <c:v>178200</c:v>
                </c:pt>
                <c:pt idx="97">
                  <c:v>206500</c:v>
                </c:pt>
                <c:pt idx="98">
                  <c:v>206500</c:v>
                </c:pt>
                <c:pt idx="99">
                  <c:v>206500</c:v>
                </c:pt>
                <c:pt idx="100">
                  <c:v>223510</c:v>
                </c:pt>
                <c:pt idx="101">
                  <c:v>131470</c:v>
                </c:pt>
                <c:pt idx="102">
                  <c:v>130190</c:v>
                </c:pt>
                <c:pt idx="103">
                  <c:v>130180</c:v>
                </c:pt>
                <c:pt idx="104">
                  <c:v>137700</c:v>
                </c:pt>
                <c:pt idx="105">
                  <c:v>137400</c:v>
                </c:pt>
                <c:pt idx="106">
                  <c:v>139800</c:v>
                </c:pt>
                <c:pt idx="107">
                  <c:v>142460</c:v>
                </c:pt>
                <c:pt idx="108">
                  <c:v>239078</c:v>
                </c:pt>
                <c:pt idx="109">
                  <c:v>107600</c:v>
                </c:pt>
                <c:pt idx="110">
                  <c:v>102900</c:v>
                </c:pt>
                <c:pt idx="111">
                  <c:v>105926</c:v>
                </c:pt>
                <c:pt idx="112">
                  <c:v>98400</c:v>
                </c:pt>
                <c:pt idx="113">
                  <c:v>98400</c:v>
                </c:pt>
                <c:pt idx="114">
                  <c:v>98400</c:v>
                </c:pt>
                <c:pt idx="115">
                  <c:v>107200</c:v>
                </c:pt>
                <c:pt idx="116">
                  <c:v>102000</c:v>
                </c:pt>
                <c:pt idx="117">
                  <c:v>133300</c:v>
                </c:pt>
                <c:pt idx="118">
                  <c:v>203100</c:v>
                </c:pt>
                <c:pt idx="119">
                  <c:v>219200</c:v>
                </c:pt>
                <c:pt idx="120">
                  <c:v>405900</c:v>
                </c:pt>
                <c:pt idx="121">
                  <c:v>405900</c:v>
                </c:pt>
                <c:pt idx="122">
                  <c:v>490615</c:v>
                </c:pt>
                <c:pt idx="123">
                  <c:v>490615</c:v>
                </c:pt>
                <c:pt idx="124">
                  <c:v>490615</c:v>
                </c:pt>
                <c:pt idx="125">
                  <c:v>490615</c:v>
                </c:pt>
                <c:pt idx="126">
                  <c:v>493497</c:v>
                </c:pt>
                <c:pt idx="127">
                  <c:v>494600</c:v>
                </c:pt>
                <c:pt idx="128">
                  <c:v>501950</c:v>
                </c:pt>
                <c:pt idx="129">
                  <c:v>15800</c:v>
                </c:pt>
                <c:pt idx="130">
                  <c:v>153800</c:v>
                </c:pt>
                <c:pt idx="131">
                  <c:v>153800</c:v>
                </c:pt>
                <c:pt idx="132">
                  <c:v>154300</c:v>
                </c:pt>
                <c:pt idx="133">
                  <c:v>154300</c:v>
                </c:pt>
                <c:pt idx="134">
                  <c:v>153300</c:v>
                </c:pt>
                <c:pt idx="135">
                  <c:v>117220</c:v>
                </c:pt>
                <c:pt idx="136">
                  <c:v>117600</c:v>
                </c:pt>
                <c:pt idx="137">
                  <c:v>125720</c:v>
                </c:pt>
                <c:pt idx="138">
                  <c:v>122860</c:v>
                </c:pt>
                <c:pt idx="139">
                  <c:v>122630</c:v>
                </c:pt>
                <c:pt idx="140">
                  <c:v>122860</c:v>
                </c:pt>
                <c:pt idx="141">
                  <c:v>130150</c:v>
                </c:pt>
                <c:pt idx="142">
                  <c:v>133920</c:v>
                </c:pt>
                <c:pt idx="143">
                  <c:v>132800</c:v>
                </c:pt>
                <c:pt idx="144">
                  <c:v>130410</c:v>
                </c:pt>
                <c:pt idx="145">
                  <c:v>128733</c:v>
                </c:pt>
                <c:pt idx="146">
                  <c:v>125759</c:v>
                </c:pt>
                <c:pt idx="147">
                  <c:v>122219</c:v>
                </c:pt>
                <c:pt idx="148">
                  <c:v>296800</c:v>
                </c:pt>
                <c:pt idx="149">
                  <c:v>296800</c:v>
                </c:pt>
                <c:pt idx="150">
                  <c:v>423070</c:v>
                </c:pt>
                <c:pt idx="151">
                  <c:v>410650</c:v>
                </c:pt>
                <c:pt idx="152">
                  <c:v>403250</c:v>
                </c:pt>
                <c:pt idx="153">
                  <c:v>308100</c:v>
                </c:pt>
                <c:pt idx="154">
                  <c:v>308200</c:v>
                </c:pt>
                <c:pt idx="155">
                  <c:v>407719</c:v>
                </c:pt>
                <c:pt idx="156">
                  <c:v>402693</c:v>
                </c:pt>
                <c:pt idx="157">
                  <c:v>421158</c:v>
                </c:pt>
                <c:pt idx="158">
                  <c:v>370685</c:v>
                </c:pt>
                <c:pt idx="159">
                  <c:v>180500</c:v>
                </c:pt>
                <c:pt idx="160">
                  <c:v>182900</c:v>
                </c:pt>
                <c:pt idx="161">
                  <c:v>181571</c:v>
                </c:pt>
                <c:pt idx="162">
                  <c:v>179354</c:v>
                </c:pt>
                <c:pt idx="163">
                  <c:v>180481</c:v>
                </c:pt>
                <c:pt idx="164">
                  <c:v>402097</c:v>
                </c:pt>
                <c:pt idx="165">
                  <c:v>388300</c:v>
                </c:pt>
                <c:pt idx="166">
                  <c:v>388800</c:v>
                </c:pt>
                <c:pt idx="167">
                  <c:v>388200</c:v>
                </c:pt>
                <c:pt idx="168">
                  <c:v>390100</c:v>
                </c:pt>
                <c:pt idx="169">
                  <c:v>402700</c:v>
                </c:pt>
                <c:pt idx="170">
                  <c:v>401500</c:v>
                </c:pt>
                <c:pt idx="171">
                  <c:v>403100</c:v>
                </c:pt>
                <c:pt idx="172">
                  <c:v>396100</c:v>
                </c:pt>
                <c:pt idx="173">
                  <c:v>399600</c:v>
                </c:pt>
                <c:pt idx="174">
                  <c:v>301000</c:v>
                </c:pt>
                <c:pt idx="175">
                  <c:v>394000</c:v>
                </c:pt>
                <c:pt idx="176">
                  <c:v>392900</c:v>
                </c:pt>
                <c:pt idx="177">
                  <c:v>199000</c:v>
                </c:pt>
                <c:pt idx="178">
                  <c:v>501300</c:v>
                </c:pt>
                <c:pt idx="179">
                  <c:v>501200</c:v>
                </c:pt>
                <c:pt idx="180">
                  <c:v>500800</c:v>
                </c:pt>
                <c:pt idx="181">
                  <c:v>500700</c:v>
                </c:pt>
                <c:pt idx="182">
                  <c:v>500700</c:v>
                </c:pt>
                <c:pt idx="183">
                  <c:v>500700</c:v>
                </c:pt>
                <c:pt idx="184">
                  <c:v>500700</c:v>
                </c:pt>
                <c:pt idx="185">
                  <c:v>500700</c:v>
                </c:pt>
                <c:pt idx="186">
                  <c:v>500700</c:v>
                </c:pt>
                <c:pt idx="187">
                  <c:v>500700</c:v>
                </c:pt>
                <c:pt idx="188">
                  <c:v>500700</c:v>
                </c:pt>
                <c:pt idx="189">
                  <c:v>500700</c:v>
                </c:pt>
                <c:pt idx="190">
                  <c:v>500700</c:v>
                </c:pt>
                <c:pt idx="191">
                  <c:v>495800</c:v>
                </c:pt>
                <c:pt idx="192">
                  <c:v>499700</c:v>
                </c:pt>
                <c:pt idx="193">
                  <c:v>497700</c:v>
                </c:pt>
                <c:pt idx="194">
                  <c:v>496000</c:v>
                </c:pt>
                <c:pt idx="195">
                  <c:v>497800</c:v>
                </c:pt>
                <c:pt idx="196">
                  <c:v>400500</c:v>
                </c:pt>
                <c:pt idx="197">
                  <c:v>400000</c:v>
                </c:pt>
                <c:pt idx="198">
                  <c:v>509700</c:v>
                </c:pt>
                <c:pt idx="199">
                  <c:v>509700</c:v>
                </c:pt>
                <c:pt idx="200">
                  <c:v>509500</c:v>
                </c:pt>
                <c:pt idx="201">
                  <c:v>511000</c:v>
                </c:pt>
                <c:pt idx="202">
                  <c:v>511000</c:v>
                </c:pt>
                <c:pt idx="203">
                  <c:v>511900</c:v>
                </c:pt>
                <c:pt idx="204">
                  <c:v>503800</c:v>
                </c:pt>
                <c:pt idx="205">
                  <c:v>503800</c:v>
                </c:pt>
                <c:pt idx="206">
                  <c:v>503800</c:v>
                </c:pt>
                <c:pt idx="207">
                  <c:v>483800</c:v>
                </c:pt>
                <c:pt idx="208">
                  <c:v>481070</c:v>
                </c:pt>
                <c:pt idx="209">
                  <c:v>481070</c:v>
                </c:pt>
                <c:pt idx="210">
                  <c:v>482657</c:v>
                </c:pt>
                <c:pt idx="211">
                  <c:v>480981</c:v>
                </c:pt>
                <c:pt idx="212">
                  <c:v>481000</c:v>
                </c:pt>
                <c:pt idx="213">
                  <c:v>484600</c:v>
                </c:pt>
                <c:pt idx="214">
                  <c:v>481300</c:v>
                </c:pt>
                <c:pt idx="215">
                  <c:v>473790</c:v>
                </c:pt>
                <c:pt idx="216">
                  <c:v>295724</c:v>
                </c:pt>
                <c:pt idx="217">
                  <c:v>387500</c:v>
                </c:pt>
                <c:pt idx="218">
                  <c:v>177500</c:v>
                </c:pt>
                <c:pt idx="219">
                  <c:v>199800</c:v>
                </c:pt>
                <c:pt idx="220">
                  <c:v>199800</c:v>
                </c:pt>
                <c:pt idx="221">
                  <c:v>209600</c:v>
                </c:pt>
                <c:pt idx="222">
                  <c:v>330500</c:v>
                </c:pt>
                <c:pt idx="223">
                  <c:v>322880</c:v>
                </c:pt>
                <c:pt idx="224">
                  <c:v>330944</c:v>
                </c:pt>
                <c:pt idx="225">
                  <c:v>334499</c:v>
                </c:pt>
                <c:pt idx="226">
                  <c:v>335152</c:v>
                </c:pt>
                <c:pt idx="227">
                  <c:v>336800</c:v>
                </c:pt>
                <c:pt idx="228">
                  <c:v>173421</c:v>
                </c:pt>
                <c:pt idx="229">
                  <c:v>142700</c:v>
                </c:pt>
                <c:pt idx="230">
                  <c:v>140600</c:v>
                </c:pt>
                <c:pt idx="231">
                  <c:v>140600</c:v>
                </c:pt>
                <c:pt idx="232">
                  <c:v>140400</c:v>
                </c:pt>
                <c:pt idx="233">
                  <c:v>137600</c:v>
                </c:pt>
                <c:pt idx="234">
                  <c:v>140800</c:v>
                </c:pt>
                <c:pt idx="235">
                  <c:v>140800</c:v>
                </c:pt>
                <c:pt idx="236">
                  <c:v>140800</c:v>
                </c:pt>
                <c:pt idx="237">
                  <c:v>137600</c:v>
                </c:pt>
                <c:pt idx="238">
                  <c:v>137600</c:v>
                </c:pt>
                <c:pt idx="239">
                  <c:v>134200</c:v>
                </c:pt>
                <c:pt idx="240">
                  <c:v>134200</c:v>
                </c:pt>
                <c:pt idx="241">
                  <c:v>139800</c:v>
                </c:pt>
                <c:pt idx="242">
                  <c:v>143000</c:v>
                </c:pt>
                <c:pt idx="243">
                  <c:v>143000</c:v>
                </c:pt>
                <c:pt idx="244">
                  <c:v>143000</c:v>
                </c:pt>
                <c:pt idx="245">
                  <c:v>147353</c:v>
                </c:pt>
                <c:pt idx="246">
                  <c:v>147860</c:v>
                </c:pt>
                <c:pt idx="247">
                  <c:v>147860</c:v>
                </c:pt>
                <c:pt idx="248">
                  <c:v>147860</c:v>
                </c:pt>
                <c:pt idx="249">
                  <c:v>138200</c:v>
                </c:pt>
                <c:pt idx="250">
                  <c:v>139200</c:v>
                </c:pt>
                <c:pt idx="251">
                  <c:v>143700</c:v>
                </c:pt>
                <c:pt idx="252">
                  <c:v>139934</c:v>
                </c:pt>
                <c:pt idx="253">
                  <c:v>139934</c:v>
                </c:pt>
                <c:pt idx="254">
                  <c:v>139934</c:v>
                </c:pt>
                <c:pt idx="255">
                  <c:v>139934</c:v>
                </c:pt>
                <c:pt idx="256">
                  <c:v>400100</c:v>
                </c:pt>
                <c:pt idx="257">
                  <c:v>405000</c:v>
                </c:pt>
                <c:pt idx="258">
                  <c:v>405000</c:v>
                </c:pt>
                <c:pt idx="259">
                  <c:v>350000</c:v>
                </c:pt>
                <c:pt idx="260">
                  <c:v>323900</c:v>
                </c:pt>
                <c:pt idx="261">
                  <c:v>160180</c:v>
                </c:pt>
                <c:pt idx="262">
                  <c:v>117120</c:v>
                </c:pt>
                <c:pt idx="263">
                  <c:v>117080</c:v>
                </c:pt>
                <c:pt idx="264">
                  <c:v>117190</c:v>
                </c:pt>
                <c:pt idx="265">
                  <c:v>117830</c:v>
                </c:pt>
                <c:pt idx="266">
                  <c:v>121900</c:v>
                </c:pt>
                <c:pt idx="267">
                  <c:v>123600</c:v>
                </c:pt>
                <c:pt idx="268">
                  <c:v>115100</c:v>
                </c:pt>
                <c:pt idx="269">
                  <c:v>131800</c:v>
                </c:pt>
                <c:pt idx="270">
                  <c:v>131800</c:v>
                </c:pt>
                <c:pt idx="271">
                  <c:v>119300</c:v>
                </c:pt>
                <c:pt idx="272">
                  <c:v>119300</c:v>
                </c:pt>
                <c:pt idx="273">
                  <c:v>122200</c:v>
                </c:pt>
                <c:pt idx="274">
                  <c:v>116900</c:v>
                </c:pt>
                <c:pt idx="275">
                  <c:v>106800</c:v>
                </c:pt>
                <c:pt idx="276">
                  <c:v>107200</c:v>
                </c:pt>
                <c:pt idx="277">
                  <c:v>193400</c:v>
                </c:pt>
                <c:pt idx="278">
                  <c:v>275435</c:v>
                </c:pt>
                <c:pt idx="279">
                  <c:v>423538</c:v>
                </c:pt>
                <c:pt idx="280">
                  <c:v>461300</c:v>
                </c:pt>
                <c:pt idx="281">
                  <c:v>462800</c:v>
                </c:pt>
                <c:pt idx="282">
                  <c:v>457600</c:v>
                </c:pt>
                <c:pt idx="283">
                  <c:v>457600</c:v>
                </c:pt>
                <c:pt idx="284">
                  <c:v>454600</c:v>
                </c:pt>
                <c:pt idx="285">
                  <c:v>454600</c:v>
                </c:pt>
                <c:pt idx="286">
                  <c:v>451800</c:v>
                </c:pt>
                <c:pt idx="287">
                  <c:v>443140</c:v>
                </c:pt>
                <c:pt idx="288">
                  <c:v>480974</c:v>
                </c:pt>
                <c:pt idx="289">
                  <c:v>459700</c:v>
                </c:pt>
                <c:pt idx="290">
                  <c:v>414400</c:v>
                </c:pt>
                <c:pt idx="291">
                  <c:v>396100</c:v>
                </c:pt>
                <c:pt idx="292">
                  <c:v>396100</c:v>
                </c:pt>
                <c:pt idx="293">
                  <c:v>396100</c:v>
                </c:pt>
                <c:pt idx="294">
                  <c:v>396100</c:v>
                </c:pt>
                <c:pt idx="295">
                  <c:v>438900</c:v>
                </c:pt>
                <c:pt idx="296">
                  <c:v>444950</c:v>
                </c:pt>
                <c:pt idx="297">
                  <c:v>310300</c:v>
                </c:pt>
                <c:pt idx="298">
                  <c:v>417300</c:v>
                </c:pt>
                <c:pt idx="299">
                  <c:v>398160</c:v>
                </c:pt>
                <c:pt idx="300">
                  <c:v>398060</c:v>
                </c:pt>
                <c:pt idx="301">
                  <c:v>398300</c:v>
                </c:pt>
                <c:pt idx="302">
                  <c:v>452200</c:v>
                </c:pt>
                <c:pt idx="303">
                  <c:v>448700</c:v>
                </c:pt>
                <c:pt idx="304">
                  <c:v>147300</c:v>
                </c:pt>
                <c:pt idx="305">
                  <c:v>413356</c:v>
                </c:pt>
                <c:pt idx="306">
                  <c:v>417300</c:v>
                </c:pt>
                <c:pt idx="307">
                  <c:v>438600</c:v>
                </c:pt>
                <c:pt idx="308">
                  <c:v>410000</c:v>
                </c:pt>
                <c:pt idx="309">
                  <c:v>477500</c:v>
                </c:pt>
                <c:pt idx="310">
                  <c:v>471000</c:v>
                </c:pt>
                <c:pt idx="311">
                  <c:v>477900</c:v>
                </c:pt>
                <c:pt idx="312">
                  <c:v>466600</c:v>
                </c:pt>
                <c:pt idx="313">
                  <c:v>466600</c:v>
                </c:pt>
                <c:pt idx="314">
                  <c:v>411500</c:v>
                </c:pt>
                <c:pt idx="315">
                  <c:v>436685</c:v>
                </c:pt>
                <c:pt idx="316">
                  <c:v>392600</c:v>
                </c:pt>
                <c:pt idx="317">
                  <c:v>392600</c:v>
                </c:pt>
                <c:pt idx="318">
                  <c:v>393300</c:v>
                </c:pt>
                <c:pt idx="319">
                  <c:v>261100</c:v>
                </c:pt>
                <c:pt idx="320">
                  <c:v>284330</c:v>
                </c:pt>
                <c:pt idx="321">
                  <c:v>290000</c:v>
                </c:pt>
                <c:pt idx="322">
                  <c:v>289000</c:v>
                </c:pt>
                <c:pt idx="323">
                  <c:v>286500</c:v>
                </c:pt>
                <c:pt idx="324">
                  <c:v>290800</c:v>
                </c:pt>
                <c:pt idx="325">
                  <c:v>295200</c:v>
                </c:pt>
                <c:pt idx="326">
                  <c:v>289300</c:v>
                </c:pt>
                <c:pt idx="327">
                  <c:v>290000</c:v>
                </c:pt>
                <c:pt idx="328">
                  <c:v>290709</c:v>
                </c:pt>
                <c:pt idx="329">
                  <c:v>298900</c:v>
                </c:pt>
                <c:pt idx="330">
                  <c:v>560300</c:v>
                </c:pt>
                <c:pt idx="331">
                  <c:v>486600</c:v>
                </c:pt>
                <c:pt idx="332">
                  <c:v>497100</c:v>
                </c:pt>
                <c:pt idx="333">
                  <c:v>485900</c:v>
                </c:pt>
                <c:pt idx="334">
                  <c:v>527200</c:v>
                </c:pt>
                <c:pt idx="335">
                  <c:v>490500</c:v>
                </c:pt>
                <c:pt idx="336">
                  <c:v>494400</c:v>
                </c:pt>
                <c:pt idx="337">
                  <c:v>518900</c:v>
                </c:pt>
                <c:pt idx="338">
                  <c:v>529300</c:v>
                </c:pt>
                <c:pt idx="339">
                  <c:v>488900</c:v>
                </c:pt>
                <c:pt idx="340">
                  <c:v>485900</c:v>
                </c:pt>
                <c:pt idx="341">
                  <c:v>534600</c:v>
                </c:pt>
                <c:pt idx="342">
                  <c:v>523000</c:v>
                </c:pt>
                <c:pt idx="343">
                  <c:v>486900</c:v>
                </c:pt>
                <c:pt idx="344">
                  <c:v>486100</c:v>
                </c:pt>
                <c:pt idx="345">
                  <c:v>487600</c:v>
                </c:pt>
                <c:pt idx="346">
                  <c:v>533850</c:v>
                </c:pt>
                <c:pt idx="347">
                  <c:v>517050</c:v>
                </c:pt>
                <c:pt idx="348">
                  <c:v>523400</c:v>
                </c:pt>
                <c:pt idx="349">
                  <c:v>489100</c:v>
                </c:pt>
                <c:pt idx="350">
                  <c:v>488100</c:v>
                </c:pt>
                <c:pt idx="351">
                  <c:v>489500</c:v>
                </c:pt>
                <c:pt idx="352">
                  <c:v>491800</c:v>
                </c:pt>
                <c:pt idx="353">
                  <c:v>487500</c:v>
                </c:pt>
                <c:pt idx="354">
                  <c:v>506500</c:v>
                </c:pt>
                <c:pt idx="355">
                  <c:v>569413</c:v>
                </c:pt>
                <c:pt idx="356">
                  <c:v>500514</c:v>
                </c:pt>
                <c:pt idx="357">
                  <c:v>482900</c:v>
                </c:pt>
                <c:pt idx="358">
                  <c:v>476367</c:v>
                </c:pt>
                <c:pt idx="359">
                  <c:v>472000</c:v>
                </c:pt>
                <c:pt idx="360">
                  <c:v>471901</c:v>
                </c:pt>
                <c:pt idx="361">
                  <c:v>466459</c:v>
                </c:pt>
                <c:pt idx="362">
                  <c:v>477915</c:v>
                </c:pt>
                <c:pt idx="363">
                  <c:v>474649</c:v>
                </c:pt>
                <c:pt idx="364">
                  <c:v>539710</c:v>
                </c:pt>
                <c:pt idx="365">
                  <c:v>491610</c:v>
                </c:pt>
                <c:pt idx="366">
                  <c:v>484700</c:v>
                </c:pt>
                <c:pt idx="367">
                  <c:v>484700</c:v>
                </c:pt>
                <c:pt idx="368">
                  <c:v>508300</c:v>
                </c:pt>
                <c:pt idx="369">
                  <c:v>507700</c:v>
                </c:pt>
                <c:pt idx="370">
                  <c:v>493700</c:v>
                </c:pt>
                <c:pt idx="371">
                  <c:v>481000</c:v>
                </c:pt>
                <c:pt idx="372">
                  <c:v>481000</c:v>
                </c:pt>
                <c:pt idx="373">
                  <c:v>481000</c:v>
                </c:pt>
                <c:pt idx="374">
                  <c:v>481000</c:v>
                </c:pt>
                <c:pt idx="375">
                  <c:v>507000</c:v>
                </c:pt>
                <c:pt idx="376">
                  <c:v>536600</c:v>
                </c:pt>
                <c:pt idx="377">
                  <c:v>342700</c:v>
                </c:pt>
                <c:pt idx="378">
                  <c:v>318337</c:v>
                </c:pt>
                <c:pt idx="379">
                  <c:v>305362</c:v>
                </c:pt>
                <c:pt idx="380">
                  <c:v>473500</c:v>
                </c:pt>
                <c:pt idx="381">
                  <c:v>474000</c:v>
                </c:pt>
                <c:pt idx="382">
                  <c:v>474000</c:v>
                </c:pt>
                <c:pt idx="383">
                  <c:v>500500</c:v>
                </c:pt>
                <c:pt idx="384">
                  <c:v>500500</c:v>
                </c:pt>
                <c:pt idx="385">
                  <c:v>296700</c:v>
                </c:pt>
                <c:pt idx="386">
                  <c:v>298600</c:v>
                </c:pt>
                <c:pt idx="387">
                  <c:v>284370</c:v>
                </c:pt>
                <c:pt idx="388">
                  <c:v>241400</c:v>
                </c:pt>
                <c:pt idx="389">
                  <c:v>336600</c:v>
                </c:pt>
                <c:pt idx="390">
                  <c:v>336600</c:v>
                </c:pt>
                <c:pt idx="391">
                  <c:v>318100</c:v>
                </c:pt>
                <c:pt idx="392">
                  <c:v>319100</c:v>
                </c:pt>
                <c:pt idx="393">
                  <c:v>306900</c:v>
                </c:pt>
                <c:pt idx="394">
                  <c:v>302600</c:v>
                </c:pt>
                <c:pt idx="395">
                  <c:v>292100</c:v>
                </c:pt>
                <c:pt idx="396">
                  <c:v>491800</c:v>
                </c:pt>
                <c:pt idx="397">
                  <c:v>494400</c:v>
                </c:pt>
                <c:pt idx="398">
                  <c:v>276700</c:v>
                </c:pt>
                <c:pt idx="399">
                  <c:v>276700</c:v>
                </c:pt>
                <c:pt idx="400">
                  <c:v>276700</c:v>
                </c:pt>
                <c:pt idx="401">
                  <c:v>276700</c:v>
                </c:pt>
                <c:pt idx="402">
                  <c:v>276700</c:v>
                </c:pt>
                <c:pt idx="403">
                  <c:v>276700</c:v>
                </c:pt>
                <c:pt idx="404">
                  <c:v>276700</c:v>
                </c:pt>
                <c:pt idx="405">
                  <c:v>276700</c:v>
                </c:pt>
                <c:pt idx="406">
                  <c:v>276700</c:v>
                </c:pt>
                <c:pt idx="407">
                  <c:v>276700</c:v>
                </c:pt>
                <c:pt idx="408">
                  <c:v>276700</c:v>
                </c:pt>
                <c:pt idx="409">
                  <c:v>279200</c:v>
                </c:pt>
                <c:pt idx="410">
                  <c:v>233194</c:v>
                </c:pt>
                <c:pt idx="411">
                  <c:v>616900</c:v>
                </c:pt>
                <c:pt idx="412">
                  <c:v>566700</c:v>
                </c:pt>
                <c:pt idx="413">
                  <c:v>571400</c:v>
                </c:pt>
                <c:pt idx="414">
                  <c:v>566300</c:v>
                </c:pt>
                <c:pt idx="415">
                  <c:v>566300</c:v>
                </c:pt>
                <c:pt idx="416">
                  <c:v>645670</c:v>
                </c:pt>
                <c:pt idx="417">
                  <c:v>631500</c:v>
                </c:pt>
                <c:pt idx="418">
                  <c:v>631000</c:v>
                </c:pt>
                <c:pt idx="419">
                  <c:v>619500</c:v>
                </c:pt>
                <c:pt idx="420">
                  <c:v>629660</c:v>
                </c:pt>
                <c:pt idx="421">
                  <c:v>601900</c:v>
                </c:pt>
                <c:pt idx="422">
                  <c:v>568000</c:v>
                </c:pt>
                <c:pt idx="423">
                  <c:v>609500</c:v>
                </c:pt>
                <c:pt idx="424">
                  <c:v>525000</c:v>
                </c:pt>
                <c:pt idx="425">
                  <c:v>493500</c:v>
                </c:pt>
                <c:pt idx="426">
                  <c:v>494500</c:v>
                </c:pt>
                <c:pt idx="427">
                  <c:v>555100</c:v>
                </c:pt>
                <c:pt idx="428">
                  <c:v>560700</c:v>
                </c:pt>
                <c:pt idx="429">
                  <c:v>621500</c:v>
                </c:pt>
                <c:pt idx="430">
                  <c:v>545700</c:v>
                </c:pt>
                <c:pt idx="431">
                  <c:v>546000</c:v>
                </c:pt>
                <c:pt idx="432">
                  <c:v>518900</c:v>
                </c:pt>
                <c:pt idx="433">
                  <c:v>576600</c:v>
                </c:pt>
                <c:pt idx="434">
                  <c:v>576600</c:v>
                </c:pt>
                <c:pt idx="435">
                  <c:v>576600</c:v>
                </c:pt>
                <c:pt idx="436">
                  <c:v>576600</c:v>
                </c:pt>
                <c:pt idx="437">
                  <c:v>626300</c:v>
                </c:pt>
                <c:pt idx="438">
                  <c:v>580100</c:v>
                </c:pt>
                <c:pt idx="439">
                  <c:v>493600</c:v>
                </c:pt>
                <c:pt idx="440">
                  <c:v>528700</c:v>
                </c:pt>
                <c:pt idx="441">
                  <c:v>535000</c:v>
                </c:pt>
                <c:pt idx="442">
                  <c:v>530000</c:v>
                </c:pt>
                <c:pt idx="443">
                  <c:v>529300</c:v>
                </c:pt>
                <c:pt idx="444">
                  <c:v>578200</c:v>
                </c:pt>
                <c:pt idx="445">
                  <c:v>565800</c:v>
                </c:pt>
                <c:pt idx="446">
                  <c:v>483400</c:v>
                </c:pt>
                <c:pt idx="447">
                  <c:v>506200</c:v>
                </c:pt>
                <c:pt idx="448">
                  <c:v>557500</c:v>
                </c:pt>
                <c:pt idx="449">
                  <c:v>557500</c:v>
                </c:pt>
                <c:pt idx="450">
                  <c:v>528851</c:v>
                </c:pt>
                <c:pt idx="451">
                  <c:v>528200</c:v>
                </c:pt>
                <c:pt idx="452">
                  <c:v>553100</c:v>
                </c:pt>
                <c:pt idx="453">
                  <c:v>534700</c:v>
                </c:pt>
                <c:pt idx="454">
                  <c:v>532100</c:v>
                </c:pt>
                <c:pt idx="455">
                  <c:v>541800</c:v>
                </c:pt>
                <c:pt idx="456">
                  <c:v>548900</c:v>
                </c:pt>
                <c:pt idx="457">
                  <c:v>548900</c:v>
                </c:pt>
                <c:pt idx="458">
                  <c:v>502800</c:v>
                </c:pt>
                <c:pt idx="459">
                  <c:v>525500</c:v>
                </c:pt>
                <c:pt idx="460">
                  <c:v>560400</c:v>
                </c:pt>
                <c:pt idx="461">
                  <c:v>538500</c:v>
                </c:pt>
                <c:pt idx="462">
                  <c:v>524900</c:v>
                </c:pt>
                <c:pt idx="463">
                  <c:v>526992</c:v>
                </c:pt>
                <c:pt idx="464">
                  <c:v>526700</c:v>
                </c:pt>
                <c:pt idx="465">
                  <c:v>532600</c:v>
                </c:pt>
                <c:pt idx="466">
                  <c:v>532300</c:v>
                </c:pt>
                <c:pt idx="467">
                  <c:v>551600</c:v>
                </c:pt>
                <c:pt idx="468">
                  <c:v>546400</c:v>
                </c:pt>
                <c:pt idx="469">
                  <c:v>546700</c:v>
                </c:pt>
                <c:pt idx="470">
                  <c:v>571700</c:v>
                </c:pt>
                <c:pt idx="471">
                  <c:v>523000</c:v>
                </c:pt>
                <c:pt idx="472">
                  <c:v>544400</c:v>
                </c:pt>
                <c:pt idx="473">
                  <c:v>545400</c:v>
                </c:pt>
                <c:pt idx="474">
                  <c:v>536700</c:v>
                </c:pt>
                <c:pt idx="475">
                  <c:v>489400</c:v>
                </c:pt>
                <c:pt idx="476">
                  <c:v>531000</c:v>
                </c:pt>
                <c:pt idx="477">
                  <c:v>524000</c:v>
                </c:pt>
                <c:pt idx="478">
                  <c:v>591300</c:v>
                </c:pt>
                <c:pt idx="479">
                  <c:v>494800</c:v>
                </c:pt>
                <c:pt idx="480">
                  <c:v>533600</c:v>
                </c:pt>
                <c:pt idx="481">
                  <c:v>533600</c:v>
                </c:pt>
                <c:pt idx="482">
                  <c:v>495100</c:v>
                </c:pt>
                <c:pt idx="483">
                  <c:v>545400</c:v>
                </c:pt>
                <c:pt idx="484">
                  <c:v>530400</c:v>
                </c:pt>
                <c:pt idx="485">
                  <c:v>554500</c:v>
                </c:pt>
                <c:pt idx="486">
                  <c:v>535000</c:v>
                </c:pt>
                <c:pt idx="487">
                  <c:v>525300</c:v>
                </c:pt>
                <c:pt idx="488">
                  <c:v>511200</c:v>
                </c:pt>
                <c:pt idx="489">
                  <c:v>516600</c:v>
                </c:pt>
                <c:pt idx="490">
                  <c:v>529500</c:v>
                </c:pt>
                <c:pt idx="491">
                  <c:v>535400</c:v>
                </c:pt>
                <c:pt idx="492">
                  <c:v>535400</c:v>
                </c:pt>
                <c:pt idx="493">
                  <c:v>529600</c:v>
                </c:pt>
                <c:pt idx="494">
                  <c:v>528900</c:v>
                </c:pt>
                <c:pt idx="495">
                  <c:v>529000</c:v>
                </c:pt>
                <c:pt idx="496">
                  <c:v>528800</c:v>
                </c:pt>
                <c:pt idx="497">
                  <c:v>546000</c:v>
                </c:pt>
                <c:pt idx="498">
                  <c:v>530000</c:v>
                </c:pt>
                <c:pt idx="499">
                  <c:v>530420</c:v>
                </c:pt>
                <c:pt idx="500">
                  <c:v>557700</c:v>
                </c:pt>
                <c:pt idx="501">
                  <c:v>530700</c:v>
                </c:pt>
                <c:pt idx="502">
                  <c:v>530500</c:v>
                </c:pt>
                <c:pt idx="503">
                  <c:v>544100</c:v>
                </c:pt>
                <c:pt idx="504">
                  <c:v>524800</c:v>
                </c:pt>
                <c:pt idx="505">
                  <c:v>527800</c:v>
                </c:pt>
                <c:pt idx="506">
                  <c:v>529000</c:v>
                </c:pt>
                <c:pt idx="507">
                  <c:v>530500</c:v>
                </c:pt>
                <c:pt idx="508">
                  <c:v>530500</c:v>
                </c:pt>
                <c:pt idx="509">
                  <c:v>529100</c:v>
                </c:pt>
                <c:pt idx="510">
                  <c:v>530410</c:v>
                </c:pt>
                <c:pt idx="511">
                  <c:v>530400</c:v>
                </c:pt>
                <c:pt idx="512">
                  <c:v>529500</c:v>
                </c:pt>
                <c:pt idx="513">
                  <c:v>529800</c:v>
                </c:pt>
                <c:pt idx="514">
                  <c:v>529400</c:v>
                </c:pt>
                <c:pt idx="515">
                  <c:v>529100</c:v>
                </c:pt>
                <c:pt idx="516">
                  <c:v>587000</c:v>
                </c:pt>
                <c:pt idx="517">
                  <c:v>573700</c:v>
                </c:pt>
                <c:pt idx="518">
                  <c:v>496100</c:v>
                </c:pt>
                <c:pt idx="519">
                  <c:v>578500</c:v>
                </c:pt>
                <c:pt idx="520">
                  <c:v>530000</c:v>
                </c:pt>
                <c:pt idx="521">
                  <c:v>530000</c:v>
                </c:pt>
                <c:pt idx="522">
                  <c:v>540000</c:v>
                </c:pt>
                <c:pt idx="523">
                  <c:v>579800</c:v>
                </c:pt>
                <c:pt idx="524">
                  <c:v>579300</c:v>
                </c:pt>
                <c:pt idx="525">
                  <c:v>626800</c:v>
                </c:pt>
                <c:pt idx="526">
                  <c:v>543900</c:v>
                </c:pt>
                <c:pt idx="527">
                  <c:v>567000</c:v>
                </c:pt>
                <c:pt idx="528">
                  <c:v>567100</c:v>
                </c:pt>
                <c:pt idx="529">
                  <c:v>535000</c:v>
                </c:pt>
                <c:pt idx="530">
                  <c:v>543700</c:v>
                </c:pt>
                <c:pt idx="531">
                  <c:v>526051</c:v>
                </c:pt>
                <c:pt idx="532">
                  <c:v>533091</c:v>
                </c:pt>
                <c:pt idx="533">
                  <c:v>534000</c:v>
                </c:pt>
                <c:pt idx="534">
                  <c:v>534010</c:v>
                </c:pt>
                <c:pt idx="535">
                  <c:v>534500</c:v>
                </c:pt>
                <c:pt idx="536">
                  <c:v>534100</c:v>
                </c:pt>
                <c:pt idx="537">
                  <c:v>534300</c:v>
                </c:pt>
                <c:pt idx="538">
                  <c:v>534400</c:v>
                </c:pt>
                <c:pt idx="539">
                  <c:v>533100</c:v>
                </c:pt>
                <c:pt idx="540">
                  <c:v>532800</c:v>
                </c:pt>
                <c:pt idx="541">
                  <c:v>573100</c:v>
                </c:pt>
                <c:pt idx="542">
                  <c:v>482200</c:v>
                </c:pt>
                <c:pt idx="543">
                  <c:v>500600</c:v>
                </c:pt>
                <c:pt idx="544">
                  <c:v>515200</c:v>
                </c:pt>
                <c:pt idx="545">
                  <c:v>505800</c:v>
                </c:pt>
                <c:pt idx="546">
                  <c:v>495800</c:v>
                </c:pt>
                <c:pt idx="547">
                  <c:v>492300</c:v>
                </c:pt>
                <c:pt idx="548">
                  <c:v>500400</c:v>
                </c:pt>
                <c:pt idx="549">
                  <c:v>500500</c:v>
                </c:pt>
                <c:pt idx="550">
                  <c:v>496752</c:v>
                </c:pt>
                <c:pt idx="551">
                  <c:v>501391</c:v>
                </c:pt>
                <c:pt idx="552">
                  <c:v>500067</c:v>
                </c:pt>
                <c:pt idx="553">
                  <c:v>503695</c:v>
                </c:pt>
                <c:pt idx="554">
                  <c:v>500350</c:v>
                </c:pt>
                <c:pt idx="555">
                  <c:v>502011</c:v>
                </c:pt>
                <c:pt idx="556">
                  <c:v>482800</c:v>
                </c:pt>
                <c:pt idx="557">
                  <c:v>488000</c:v>
                </c:pt>
                <c:pt idx="558">
                  <c:v>499900</c:v>
                </c:pt>
                <c:pt idx="559">
                  <c:v>500700</c:v>
                </c:pt>
                <c:pt idx="560">
                  <c:v>569400</c:v>
                </c:pt>
                <c:pt idx="561">
                  <c:v>568300</c:v>
                </c:pt>
                <c:pt idx="562">
                  <c:v>566700</c:v>
                </c:pt>
                <c:pt idx="563">
                  <c:v>496400</c:v>
                </c:pt>
                <c:pt idx="564">
                  <c:v>563500</c:v>
                </c:pt>
                <c:pt idx="565">
                  <c:v>487300</c:v>
                </c:pt>
                <c:pt idx="566">
                  <c:v>484900</c:v>
                </c:pt>
                <c:pt idx="567">
                  <c:v>529858</c:v>
                </c:pt>
                <c:pt idx="568">
                  <c:v>514100</c:v>
                </c:pt>
                <c:pt idx="569">
                  <c:v>515300</c:v>
                </c:pt>
                <c:pt idx="570">
                  <c:v>494300</c:v>
                </c:pt>
                <c:pt idx="571">
                  <c:v>567200</c:v>
                </c:pt>
                <c:pt idx="572">
                  <c:v>566900</c:v>
                </c:pt>
                <c:pt idx="573">
                  <c:v>477131</c:v>
                </c:pt>
                <c:pt idx="574">
                  <c:v>476700</c:v>
                </c:pt>
                <c:pt idx="575">
                  <c:v>559300</c:v>
                </c:pt>
                <c:pt idx="576">
                  <c:v>569000</c:v>
                </c:pt>
                <c:pt idx="577">
                  <c:v>566700</c:v>
                </c:pt>
                <c:pt idx="578">
                  <c:v>565600</c:v>
                </c:pt>
                <c:pt idx="579">
                  <c:v>565700</c:v>
                </c:pt>
                <c:pt idx="580">
                  <c:v>565800</c:v>
                </c:pt>
                <c:pt idx="581">
                  <c:v>468800</c:v>
                </c:pt>
                <c:pt idx="582">
                  <c:v>474300</c:v>
                </c:pt>
                <c:pt idx="583">
                  <c:v>480000</c:v>
                </c:pt>
                <c:pt idx="584">
                  <c:v>476400</c:v>
                </c:pt>
                <c:pt idx="585">
                  <c:v>476400</c:v>
                </c:pt>
                <c:pt idx="586">
                  <c:v>486200</c:v>
                </c:pt>
                <c:pt idx="587">
                  <c:v>489100</c:v>
                </c:pt>
                <c:pt idx="588">
                  <c:v>482200</c:v>
                </c:pt>
                <c:pt idx="589">
                  <c:v>482500</c:v>
                </c:pt>
                <c:pt idx="590">
                  <c:v>476500</c:v>
                </c:pt>
                <c:pt idx="591">
                  <c:v>477300</c:v>
                </c:pt>
                <c:pt idx="592">
                  <c:v>466600</c:v>
                </c:pt>
                <c:pt idx="593">
                  <c:v>476500</c:v>
                </c:pt>
                <c:pt idx="594">
                  <c:v>474300</c:v>
                </c:pt>
                <c:pt idx="595">
                  <c:v>476600</c:v>
                </c:pt>
                <c:pt idx="596">
                  <c:v>486400</c:v>
                </c:pt>
                <c:pt idx="597">
                  <c:v>484900</c:v>
                </c:pt>
                <c:pt idx="598">
                  <c:v>500600</c:v>
                </c:pt>
                <c:pt idx="599">
                  <c:v>501200</c:v>
                </c:pt>
                <c:pt idx="600">
                  <c:v>501300</c:v>
                </c:pt>
                <c:pt idx="601">
                  <c:v>501200</c:v>
                </c:pt>
                <c:pt idx="602">
                  <c:v>501300</c:v>
                </c:pt>
                <c:pt idx="603">
                  <c:v>501400</c:v>
                </c:pt>
                <c:pt idx="604">
                  <c:v>501400</c:v>
                </c:pt>
                <c:pt idx="605">
                  <c:v>501400</c:v>
                </c:pt>
                <c:pt idx="606">
                  <c:v>501400</c:v>
                </c:pt>
                <c:pt idx="607">
                  <c:v>501400</c:v>
                </c:pt>
                <c:pt idx="608">
                  <c:v>501200</c:v>
                </c:pt>
                <c:pt idx="609">
                  <c:v>496800</c:v>
                </c:pt>
                <c:pt idx="610">
                  <c:v>496900</c:v>
                </c:pt>
                <c:pt idx="611">
                  <c:v>498800</c:v>
                </c:pt>
                <c:pt idx="612">
                  <c:v>497700</c:v>
                </c:pt>
                <c:pt idx="613">
                  <c:v>496700</c:v>
                </c:pt>
                <c:pt idx="614">
                  <c:v>504400</c:v>
                </c:pt>
                <c:pt idx="615">
                  <c:v>503700</c:v>
                </c:pt>
                <c:pt idx="616">
                  <c:v>523100</c:v>
                </c:pt>
                <c:pt idx="617">
                  <c:v>504400</c:v>
                </c:pt>
                <c:pt idx="618">
                  <c:v>503700</c:v>
                </c:pt>
                <c:pt idx="619">
                  <c:v>504300</c:v>
                </c:pt>
                <c:pt idx="620">
                  <c:v>503500</c:v>
                </c:pt>
                <c:pt idx="621">
                  <c:v>500400</c:v>
                </c:pt>
                <c:pt idx="622">
                  <c:v>504905</c:v>
                </c:pt>
                <c:pt idx="623">
                  <c:v>500600</c:v>
                </c:pt>
                <c:pt idx="624">
                  <c:v>500100</c:v>
                </c:pt>
                <c:pt idx="625">
                  <c:v>497100</c:v>
                </c:pt>
                <c:pt idx="626">
                  <c:v>504300</c:v>
                </c:pt>
                <c:pt idx="627">
                  <c:v>499200</c:v>
                </c:pt>
                <c:pt idx="628">
                  <c:v>510000</c:v>
                </c:pt>
                <c:pt idx="629">
                  <c:v>508300</c:v>
                </c:pt>
                <c:pt idx="630">
                  <c:v>504500</c:v>
                </c:pt>
                <c:pt idx="631">
                  <c:v>509300</c:v>
                </c:pt>
                <c:pt idx="632">
                  <c:v>498000</c:v>
                </c:pt>
                <c:pt idx="633">
                  <c:v>486900</c:v>
                </c:pt>
                <c:pt idx="634">
                  <c:v>491500</c:v>
                </c:pt>
                <c:pt idx="635">
                  <c:v>491600</c:v>
                </c:pt>
                <c:pt idx="636">
                  <c:v>491700</c:v>
                </c:pt>
                <c:pt idx="637">
                  <c:v>516500</c:v>
                </c:pt>
                <c:pt idx="638">
                  <c:v>500500</c:v>
                </c:pt>
                <c:pt idx="639">
                  <c:v>499200</c:v>
                </c:pt>
                <c:pt idx="640">
                  <c:v>504300</c:v>
                </c:pt>
                <c:pt idx="641">
                  <c:v>503500</c:v>
                </c:pt>
                <c:pt idx="642">
                  <c:v>508000</c:v>
                </c:pt>
                <c:pt idx="643">
                  <c:v>504300</c:v>
                </c:pt>
                <c:pt idx="644">
                  <c:v>522200</c:v>
                </c:pt>
                <c:pt idx="645">
                  <c:v>514900</c:v>
                </c:pt>
                <c:pt idx="646">
                  <c:v>486900</c:v>
                </c:pt>
                <c:pt idx="647">
                  <c:v>491700</c:v>
                </c:pt>
                <c:pt idx="648">
                  <c:v>491400</c:v>
                </c:pt>
                <c:pt idx="649">
                  <c:v>500400</c:v>
                </c:pt>
                <c:pt idx="650">
                  <c:v>501200</c:v>
                </c:pt>
                <c:pt idx="651">
                  <c:v>486800</c:v>
                </c:pt>
                <c:pt idx="652">
                  <c:v>500400</c:v>
                </c:pt>
                <c:pt idx="653">
                  <c:v>498544</c:v>
                </c:pt>
                <c:pt idx="654">
                  <c:v>504500</c:v>
                </c:pt>
                <c:pt idx="655">
                  <c:v>509800</c:v>
                </c:pt>
                <c:pt idx="656">
                  <c:v>498500</c:v>
                </c:pt>
                <c:pt idx="657">
                  <c:v>512100</c:v>
                </c:pt>
                <c:pt idx="658">
                  <c:v>494400</c:v>
                </c:pt>
                <c:pt idx="659">
                  <c:v>513800</c:v>
                </c:pt>
                <c:pt idx="660">
                  <c:v>475700</c:v>
                </c:pt>
                <c:pt idx="661">
                  <c:v>475500</c:v>
                </c:pt>
                <c:pt idx="662">
                  <c:v>475600</c:v>
                </c:pt>
                <c:pt idx="663">
                  <c:v>476600</c:v>
                </c:pt>
                <c:pt idx="664">
                  <c:v>512900</c:v>
                </c:pt>
                <c:pt idx="665">
                  <c:v>485700</c:v>
                </c:pt>
                <c:pt idx="666">
                  <c:v>484900</c:v>
                </c:pt>
                <c:pt idx="667">
                  <c:v>483900</c:v>
                </c:pt>
                <c:pt idx="668">
                  <c:v>488900</c:v>
                </c:pt>
                <c:pt idx="669">
                  <c:v>484900</c:v>
                </c:pt>
                <c:pt idx="670">
                  <c:v>496700</c:v>
                </c:pt>
                <c:pt idx="671">
                  <c:v>502400</c:v>
                </c:pt>
                <c:pt idx="672">
                  <c:v>502300</c:v>
                </c:pt>
                <c:pt idx="673">
                  <c:v>502500</c:v>
                </c:pt>
                <c:pt idx="674">
                  <c:v>496700</c:v>
                </c:pt>
                <c:pt idx="675">
                  <c:v>463700</c:v>
                </c:pt>
                <c:pt idx="676">
                  <c:v>463700</c:v>
                </c:pt>
                <c:pt idx="677">
                  <c:v>551300</c:v>
                </c:pt>
                <c:pt idx="678">
                  <c:v>551300</c:v>
                </c:pt>
                <c:pt idx="679">
                  <c:v>542500</c:v>
                </c:pt>
                <c:pt idx="680">
                  <c:v>541600</c:v>
                </c:pt>
                <c:pt idx="681">
                  <c:v>551100</c:v>
                </c:pt>
                <c:pt idx="682">
                  <c:v>551100</c:v>
                </c:pt>
                <c:pt idx="683">
                  <c:v>511600</c:v>
                </c:pt>
                <c:pt idx="684">
                  <c:v>507100</c:v>
                </c:pt>
                <c:pt idx="685">
                  <c:v>507100</c:v>
                </c:pt>
                <c:pt idx="686">
                  <c:v>559900</c:v>
                </c:pt>
                <c:pt idx="687">
                  <c:v>560500</c:v>
                </c:pt>
                <c:pt idx="688">
                  <c:v>560500</c:v>
                </c:pt>
                <c:pt idx="689">
                  <c:v>549500</c:v>
                </c:pt>
                <c:pt idx="690">
                  <c:v>550900</c:v>
                </c:pt>
                <c:pt idx="691">
                  <c:v>483900</c:v>
                </c:pt>
                <c:pt idx="692">
                  <c:v>483800</c:v>
                </c:pt>
                <c:pt idx="693">
                  <c:v>488900</c:v>
                </c:pt>
                <c:pt idx="694">
                  <c:v>488900</c:v>
                </c:pt>
                <c:pt idx="695">
                  <c:v>488900</c:v>
                </c:pt>
                <c:pt idx="696">
                  <c:v>488900</c:v>
                </c:pt>
                <c:pt idx="697">
                  <c:v>484900</c:v>
                </c:pt>
                <c:pt idx="698">
                  <c:v>485400</c:v>
                </c:pt>
                <c:pt idx="699">
                  <c:v>485400</c:v>
                </c:pt>
                <c:pt idx="700">
                  <c:v>293700</c:v>
                </c:pt>
                <c:pt idx="701">
                  <c:v>301800</c:v>
                </c:pt>
                <c:pt idx="702">
                  <c:v>301200</c:v>
                </c:pt>
                <c:pt idx="703">
                  <c:v>296300</c:v>
                </c:pt>
                <c:pt idx="704">
                  <c:v>287600</c:v>
                </c:pt>
                <c:pt idx="705">
                  <c:v>301700</c:v>
                </c:pt>
                <c:pt idx="706">
                  <c:v>284700</c:v>
                </c:pt>
                <c:pt idx="707">
                  <c:v>283800</c:v>
                </c:pt>
                <c:pt idx="708">
                  <c:v>285200</c:v>
                </c:pt>
                <c:pt idx="709">
                  <c:v>290500</c:v>
                </c:pt>
                <c:pt idx="710">
                  <c:v>284700</c:v>
                </c:pt>
                <c:pt idx="711">
                  <c:v>284900</c:v>
                </c:pt>
                <c:pt idx="712">
                  <c:v>293000</c:v>
                </c:pt>
                <c:pt idx="713">
                  <c:v>286700</c:v>
                </c:pt>
                <c:pt idx="714">
                  <c:v>284800</c:v>
                </c:pt>
                <c:pt idx="715">
                  <c:v>300100</c:v>
                </c:pt>
                <c:pt idx="716">
                  <c:v>300100</c:v>
                </c:pt>
                <c:pt idx="717">
                  <c:v>284900</c:v>
                </c:pt>
                <c:pt idx="718">
                  <c:v>285600</c:v>
                </c:pt>
                <c:pt idx="719">
                  <c:v>270300</c:v>
                </c:pt>
                <c:pt idx="720">
                  <c:v>268700</c:v>
                </c:pt>
                <c:pt idx="721">
                  <c:v>270000</c:v>
                </c:pt>
                <c:pt idx="722">
                  <c:v>270100</c:v>
                </c:pt>
                <c:pt idx="723">
                  <c:v>295600</c:v>
                </c:pt>
                <c:pt idx="724">
                  <c:v>286800</c:v>
                </c:pt>
                <c:pt idx="725">
                  <c:v>297400</c:v>
                </c:pt>
                <c:pt idx="726">
                  <c:v>302500</c:v>
                </c:pt>
                <c:pt idx="727">
                  <c:v>295800</c:v>
                </c:pt>
                <c:pt idx="728">
                  <c:v>285200</c:v>
                </c:pt>
                <c:pt idx="729">
                  <c:v>281600</c:v>
                </c:pt>
                <c:pt idx="730">
                  <c:v>293700</c:v>
                </c:pt>
                <c:pt idx="731">
                  <c:v>275700</c:v>
                </c:pt>
                <c:pt idx="732">
                  <c:v>276000</c:v>
                </c:pt>
                <c:pt idx="733">
                  <c:v>278100</c:v>
                </c:pt>
                <c:pt idx="734">
                  <c:v>314000</c:v>
                </c:pt>
                <c:pt idx="735">
                  <c:v>368600</c:v>
                </c:pt>
                <c:pt idx="736">
                  <c:v>344400</c:v>
                </c:pt>
                <c:pt idx="737">
                  <c:v>206800</c:v>
                </c:pt>
                <c:pt idx="738">
                  <c:v>293700</c:v>
                </c:pt>
                <c:pt idx="739">
                  <c:v>293700</c:v>
                </c:pt>
                <c:pt idx="740">
                  <c:v>292100</c:v>
                </c:pt>
                <c:pt idx="741">
                  <c:v>292100</c:v>
                </c:pt>
                <c:pt idx="742">
                  <c:v>301200</c:v>
                </c:pt>
                <c:pt idx="743">
                  <c:v>287500</c:v>
                </c:pt>
                <c:pt idx="744">
                  <c:v>279822</c:v>
                </c:pt>
                <c:pt idx="745">
                  <c:v>279722</c:v>
                </c:pt>
                <c:pt idx="746">
                  <c:v>287600</c:v>
                </c:pt>
                <c:pt idx="747">
                  <c:v>279300</c:v>
                </c:pt>
                <c:pt idx="748">
                  <c:v>257600</c:v>
                </c:pt>
                <c:pt idx="749">
                  <c:v>252900</c:v>
                </c:pt>
                <c:pt idx="750">
                  <c:v>227900</c:v>
                </c:pt>
              </c:numCache>
            </c:numRef>
          </c:yVal>
        </c:ser>
        <c:dLbls/>
        <c:axId val="83726336"/>
        <c:axId val="83727872"/>
      </c:scatterChart>
      <c:valAx>
        <c:axId val="83726336"/>
        <c:scaling>
          <c:orientation val="minMax"/>
        </c:scaling>
        <c:axPos val="b"/>
        <c:numFmt formatCode="General" sourceLinked="1"/>
        <c:tickLblPos val="nextTo"/>
        <c:crossAx val="83727872"/>
        <c:crosses val="autoZero"/>
        <c:crossBetween val="midCat"/>
      </c:valAx>
      <c:valAx>
        <c:axId val="83727872"/>
        <c:scaling>
          <c:orientation val="minMax"/>
        </c:scaling>
        <c:axPos val="l"/>
        <c:majorGridlines/>
        <c:numFmt formatCode="General" sourceLinked="1"/>
        <c:tickLblPos val="nextTo"/>
        <c:crossAx val="83726336"/>
        <c:crosses val="autoZero"/>
        <c:crossBetween val="midCat"/>
      </c:valAx>
    </c:plotArea>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spPr>
            <a:solidFill>
              <a:schemeClr val="tx1">
                <a:lumMod val="50000"/>
                <a:lumOff val="50000"/>
              </a:schemeClr>
            </a:solidFill>
            <a:ln w="12700">
              <a:solidFill>
                <a:schemeClr val="tx1"/>
              </a:solidFill>
            </a:ln>
          </c:spPr>
          <c:cat>
            <c:strRef>
              <c:f>'All sites- freq data'!$B$2:$B$16</c:f>
              <c:strCache>
                <c:ptCount val="15"/>
                <c:pt idx="0">
                  <c:v>15 - 14</c:v>
                </c:pt>
                <c:pt idx="1">
                  <c:v>14 - 13</c:v>
                </c:pt>
                <c:pt idx="2">
                  <c:v>13 - 12</c:v>
                </c:pt>
                <c:pt idx="3">
                  <c:v>12 - 11</c:v>
                </c:pt>
                <c:pt idx="4">
                  <c:v>11 - 10</c:v>
                </c:pt>
                <c:pt idx="5">
                  <c:v>10 - 9</c:v>
                </c:pt>
                <c:pt idx="6">
                  <c:v>9 - 8</c:v>
                </c:pt>
                <c:pt idx="7">
                  <c:v>8 - 7</c:v>
                </c:pt>
                <c:pt idx="8">
                  <c:v>7 - 6</c:v>
                </c:pt>
                <c:pt idx="9">
                  <c:v>6 - 5</c:v>
                </c:pt>
                <c:pt idx="10">
                  <c:v>5 - 4</c:v>
                </c:pt>
                <c:pt idx="11">
                  <c:v>4 - 3</c:v>
                </c:pt>
                <c:pt idx="12">
                  <c:v>3 - 2</c:v>
                </c:pt>
                <c:pt idx="13">
                  <c:v>2 - 1</c:v>
                </c:pt>
                <c:pt idx="14">
                  <c:v>1 - 0</c:v>
                </c:pt>
              </c:strCache>
            </c:strRef>
          </c:cat>
          <c:val>
            <c:numRef>
              <c:f>'All sites- freq data'!$C$2:$C$16</c:f>
              <c:numCache>
                <c:formatCode>General</c:formatCode>
                <c:ptCount val="15"/>
                <c:pt idx="0">
                  <c:v>4</c:v>
                </c:pt>
                <c:pt idx="1">
                  <c:v>9</c:v>
                </c:pt>
                <c:pt idx="2">
                  <c:v>16</c:v>
                </c:pt>
                <c:pt idx="3">
                  <c:v>23</c:v>
                </c:pt>
                <c:pt idx="4">
                  <c:v>34</c:v>
                </c:pt>
                <c:pt idx="5">
                  <c:v>52</c:v>
                </c:pt>
                <c:pt idx="6">
                  <c:v>56</c:v>
                </c:pt>
                <c:pt idx="7">
                  <c:v>67</c:v>
                </c:pt>
                <c:pt idx="8">
                  <c:v>83</c:v>
                </c:pt>
                <c:pt idx="9">
                  <c:v>111</c:v>
                </c:pt>
                <c:pt idx="10">
                  <c:v>131</c:v>
                </c:pt>
                <c:pt idx="11">
                  <c:v>148</c:v>
                </c:pt>
                <c:pt idx="12">
                  <c:v>140</c:v>
                </c:pt>
                <c:pt idx="13">
                  <c:v>121</c:v>
                </c:pt>
                <c:pt idx="14">
                  <c:v>76</c:v>
                </c:pt>
              </c:numCache>
            </c:numRef>
          </c:val>
        </c:ser>
        <c:dLbls/>
        <c:axId val="84228736"/>
        <c:axId val="84251392"/>
      </c:barChart>
      <c:catAx>
        <c:axId val="84228736"/>
        <c:scaling>
          <c:orientation val="minMax"/>
        </c:scaling>
        <c:axPos val="b"/>
        <c:title>
          <c:tx>
            <c:rich>
              <a:bodyPr/>
              <a:lstStyle/>
              <a:p>
                <a:pPr>
                  <a:defRPr sz="1400">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Millenium (kYBP)</a:t>
                </a:r>
              </a:p>
            </c:rich>
          </c:tx>
          <c:layout>
            <c:manualLayout>
              <c:xMode val="edge"/>
              <c:yMode val="edge"/>
              <c:x val="0.44696197447495828"/>
              <c:y val="0.94966583124477888"/>
            </c:manualLayout>
          </c:layout>
        </c:title>
        <c:tickLblPos val="nextTo"/>
        <c:spPr>
          <a:ln w="25400">
            <a:solidFill>
              <a:schemeClr val="tx1"/>
            </a:solidFill>
          </a:ln>
        </c:spPr>
        <c:txPr>
          <a:bodyPr rot="-5400000" vert="horz"/>
          <a:lstStyle/>
          <a:p>
            <a:pPr>
              <a:defRPr sz="1400">
                <a:latin typeface="Arial" panose="020B0604020202020204" pitchFamily="34" charset="0"/>
                <a:cs typeface="Arial" panose="020B0604020202020204" pitchFamily="34" charset="0"/>
              </a:defRPr>
            </a:pPr>
            <a:endParaRPr lang="en-US"/>
          </a:p>
        </c:txPr>
        <c:crossAx val="84251392"/>
        <c:crosses val="autoZero"/>
        <c:auto val="1"/>
        <c:lblAlgn val="ctr"/>
        <c:lblOffset val="100"/>
      </c:catAx>
      <c:valAx>
        <c:axId val="84251392"/>
        <c:scaling>
          <c:orientation val="minMax"/>
        </c:scaling>
        <c:axPos val="l"/>
        <c:majorGridlines>
          <c:spPr>
            <a:ln>
              <a:noFill/>
            </a:ln>
          </c:spPr>
        </c:majorGridlines>
        <c:title>
          <c:tx>
            <c:rich>
              <a:bodyPr rot="-5400000" vert="horz"/>
              <a:lstStyle/>
              <a:p>
                <a:pPr>
                  <a:defRPr sz="1400">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Number of dated cores</a:t>
                </a:r>
              </a:p>
            </c:rich>
          </c:tx>
          <c:layout>
            <c:manualLayout>
              <c:xMode val="edge"/>
              <c:yMode val="edge"/>
              <c:x val="6.8194217130387348E-3"/>
              <c:y val="0.28975555687118054"/>
            </c:manualLayout>
          </c:layout>
        </c:title>
        <c:numFmt formatCode="General" sourceLinked="1"/>
        <c:tickLblPos val="nextTo"/>
        <c:spPr>
          <a:ln w="25400">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crossAx val="84228736"/>
        <c:crosses val="autoZero"/>
        <c:crossBetween val="between"/>
      </c:valAx>
    </c:plotArea>
    <c:plotVisOnly val="1"/>
    <c:dispBlanksAs val="gap"/>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scatterChart>
        <c:scatterStyle val="lineMarker"/>
        <c:ser>
          <c:idx val="0"/>
          <c:order val="0"/>
          <c:tx>
            <c:strRef>
              <c:f>'All sites'!$Q$2:$Q$4</c:f>
              <c:strCache>
                <c:ptCount val="1"/>
                <c:pt idx="0">
                  <c:v>0 0 0</c:v>
                </c:pt>
              </c:strCache>
            </c:strRef>
          </c:tx>
          <c:spPr>
            <a:ln w="28575">
              <a:noFill/>
            </a:ln>
          </c:spPr>
          <c:marker>
            <c:symbol val="x"/>
            <c:size val="10"/>
            <c:spPr>
              <a:ln w="25400">
                <a:solidFill>
                  <a:schemeClr val="tx1"/>
                </a:solidFill>
              </a:ln>
            </c:spPr>
          </c:marker>
          <c:xVal>
            <c:numRef>
              <c:f>'All sites'!$T$2:$T$765</c:f>
              <c:numCache>
                <c:formatCode>0.00</c:formatCode>
                <c:ptCount val="764"/>
                <c:pt idx="3">
                  <c:v>4.6838407494145207</c:v>
                </c:pt>
                <c:pt idx="4">
                  <c:v>5.4669703872437365</c:v>
                </c:pt>
                <c:pt idx="25">
                  <c:v>5.9382422802850359</c:v>
                </c:pt>
                <c:pt idx="29">
                  <c:v>40.836653386454181</c:v>
                </c:pt>
                <c:pt idx="30">
                  <c:v>22.149837133550491</c:v>
                </c:pt>
                <c:pt idx="33">
                  <c:v>9.6079938508839362</c:v>
                </c:pt>
                <c:pt idx="36">
                  <c:v>16.298896690070212</c:v>
                </c:pt>
                <c:pt idx="37">
                  <c:v>11.492051331162612</c:v>
                </c:pt>
                <c:pt idx="38">
                  <c:v>10.266940451745379</c:v>
                </c:pt>
                <c:pt idx="39">
                  <c:v>12.840633471251248</c:v>
                </c:pt>
                <c:pt idx="40">
                  <c:v>43.572984749455337</c:v>
                </c:pt>
                <c:pt idx="41">
                  <c:v>9.6936797208220238</c:v>
                </c:pt>
                <c:pt idx="42">
                  <c:v>7.3529411764705888</c:v>
                </c:pt>
                <c:pt idx="43">
                  <c:v>20.408163265306122</c:v>
                </c:pt>
                <c:pt idx="44">
                  <c:v>15.313935681470138</c:v>
                </c:pt>
                <c:pt idx="47">
                  <c:v>28.571428571428573</c:v>
                </c:pt>
                <c:pt idx="48">
                  <c:v>10.9375</c:v>
                </c:pt>
                <c:pt idx="53">
                  <c:v>17.010309278350515</c:v>
                </c:pt>
                <c:pt idx="57">
                  <c:v>15.189873417721518</c:v>
                </c:pt>
                <c:pt idx="58">
                  <c:v>33.333333333333336</c:v>
                </c:pt>
                <c:pt idx="59">
                  <c:v>33.333333333333336</c:v>
                </c:pt>
                <c:pt idx="60">
                  <c:v>12.790697674418604</c:v>
                </c:pt>
                <c:pt idx="65">
                  <c:v>33.575825405707889</c:v>
                </c:pt>
                <c:pt idx="67">
                  <c:v>15.78586135895676</c:v>
                </c:pt>
                <c:pt idx="68">
                  <c:v>19.615912208504803</c:v>
                </c:pt>
                <c:pt idx="69">
                  <c:v>39.473684210526322</c:v>
                </c:pt>
                <c:pt idx="70">
                  <c:v>19.132653061224488</c:v>
                </c:pt>
                <c:pt idx="71">
                  <c:v>19.204389574759944</c:v>
                </c:pt>
                <c:pt idx="72">
                  <c:v>12.763241863433313</c:v>
                </c:pt>
                <c:pt idx="73">
                  <c:v>7.6687116564417179</c:v>
                </c:pt>
                <c:pt idx="74">
                  <c:v>16.651031894934334</c:v>
                </c:pt>
                <c:pt idx="75">
                  <c:v>11.556429800835996</c:v>
                </c:pt>
                <c:pt idx="76">
                  <c:v>19.762845849802371</c:v>
                </c:pt>
                <c:pt idx="78">
                  <c:v>16.908212560386474</c:v>
                </c:pt>
                <c:pt idx="84">
                  <c:v>8.5470085470085468</c:v>
                </c:pt>
                <c:pt idx="87">
                  <c:v>107.69230769230769</c:v>
                </c:pt>
                <c:pt idx="89">
                  <c:v>73.033707865168537</c:v>
                </c:pt>
                <c:pt idx="90">
                  <c:v>4.3478260869565215</c:v>
                </c:pt>
                <c:pt idx="91">
                  <c:v>6.2032085561497325</c:v>
                </c:pt>
                <c:pt idx="92">
                  <c:v>826.92307692307691</c:v>
                </c:pt>
                <c:pt idx="93">
                  <c:v>6.6037735849056602</c:v>
                </c:pt>
                <c:pt idx="101">
                  <c:v>9.1358024691358022</c:v>
                </c:pt>
                <c:pt idx="102">
                  <c:v>14.625850340136054</c:v>
                </c:pt>
                <c:pt idx="103">
                  <c:v>23.333333333333332</c:v>
                </c:pt>
                <c:pt idx="104">
                  <c:v>7.1813285457809695</c:v>
                </c:pt>
                <c:pt idx="105">
                  <c:v>27.397260273972602</c:v>
                </c:pt>
                <c:pt idx="106">
                  <c:v>22.088353413654616</c:v>
                </c:pt>
                <c:pt idx="107">
                  <c:v>10.486891385767791</c:v>
                </c:pt>
                <c:pt idx="108">
                  <c:v>30.188679245283016</c:v>
                </c:pt>
                <c:pt idx="115">
                  <c:v>13.404825737265416</c:v>
                </c:pt>
                <c:pt idx="116">
                  <c:v>19.04335162988686</c:v>
                </c:pt>
                <c:pt idx="117">
                  <c:v>7.2463768115942031</c:v>
                </c:pt>
                <c:pt idx="135">
                  <c:v>15.267175572519083</c:v>
                </c:pt>
                <c:pt idx="136">
                  <c:v>269.66292134831463</c:v>
                </c:pt>
                <c:pt idx="137">
                  <c:v>11.900039666798889</c:v>
                </c:pt>
                <c:pt idx="140">
                  <c:v>47.945205479452056</c:v>
                </c:pt>
                <c:pt idx="141">
                  <c:v>18.407960199004979</c:v>
                </c:pt>
                <c:pt idx="142">
                  <c:v>13.48314606741573</c:v>
                </c:pt>
                <c:pt idx="143">
                  <c:v>58.823529411764703</c:v>
                </c:pt>
                <c:pt idx="148">
                  <c:v>1.2612612612612613</c:v>
                </c:pt>
                <c:pt idx="149">
                  <c:v>8.5714285714285712</c:v>
                </c:pt>
                <c:pt idx="150">
                  <c:v>11.244979919678714</c:v>
                </c:pt>
                <c:pt idx="151">
                  <c:v>7.984031936127745</c:v>
                </c:pt>
                <c:pt idx="160">
                  <c:v>19.809825673534071</c:v>
                </c:pt>
                <c:pt idx="161">
                  <c:v>10.905485789821547</c:v>
                </c:pt>
                <c:pt idx="162">
                  <c:v>46.398046398046404</c:v>
                </c:pt>
                <c:pt idx="163">
                  <c:v>8.6294416243654819</c:v>
                </c:pt>
                <c:pt idx="177">
                  <c:v>15.873015873015873</c:v>
                </c:pt>
                <c:pt idx="178">
                  <c:v>90.909090909090907</c:v>
                </c:pt>
                <c:pt idx="179">
                  <c:v>6.9135802469135808</c:v>
                </c:pt>
                <c:pt idx="181">
                  <c:v>64.377682403433468</c:v>
                </c:pt>
                <c:pt idx="182">
                  <c:v>25.592417061611375</c:v>
                </c:pt>
                <c:pt idx="184">
                  <c:v>16.611295681063122</c:v>
                </c:pt>
                <c:pt idx="186">
                  <c:v>7.109004739336493</c:v>
                </c:pt>
                <c:pt idx="187">
                  <c:v>182.60869565217391</c:v>
                </c:pt>
                <c:pt idx="188">
                  <c:v>54.13533834586466</c:v>
                </c:pt>
                <c:pt idx="190">
                  <c:v>27.210884353741498</c:v>
                </c:pt>
                <c:pt idx="191">
                  <c:v>44.871794871794869</c:v>
                </c:pt>
                <c:pt idx="192">
                  <c:v>28.037383177570092</c:v>
                </c:pt>
                <c:pt idx="193">
                  <c:v>23.094688221709006</c:v>
                </c:pt>
                <c:pt idx="213">
                  <c:v>14.545454545454545</c:v>
                </c:pt>
                <c:pt idx="214">
                  <c:v>21.50537634408602</c:v>
                </c:pt>
                <c:pt idx="217">
                  <c:v>10.27027027027027</c:v>
                </c:pt>
                <c:pt idx="220">
                  <c:v>14.473684210526317</c:v>
                </c:pt>
                <c:pt idx="221">
                  <c:v>10.118043844856661</c:v>
                </c:pt>
                <c:pt idx="222">
                  <c:v>7.0232306861156122</c:v>
                </c:pt>
                <c:pt idx="223">
                  <c:v>38.46153846153846</c:v>
                </c:pt>
                <c:pt idx="228">
                  <c:v>3.132832080200501</c:v>
                </c:pt>
                <c:pt idx="229">
                  <c:v>9.8280098280098276</c:v>
                </c:pt>
                <c:pt idx="230">
                  <c:v>13.937282229965156</c:v>
                </c:pt>
                <c:pt idx="232">
                  <c:v>23.900573613766728</c:v>
                </c:pt>
                <c:pt idx="256">
                  <c:v>18.867924528301884</c:v>
                </c:pt>
                <c:pt idx="257">
                  <c:v>9.6645821489482664</c:v>
                </c:pt>
                <c:pt idx="259">
                  <c:v>13.84083044982699</c:v>
                </c:pt>
                <c:pt idx="260">
                  <c:v>16.835016835016834</c:v>
                </c:pt>
                <c:pt idx="261">
                  <c:v>31.25</c:v>
                </c:pt>
                <c:pt idx="266">
                  <c:v>25.675675675675677</c:v>
                </c:pt>
                <c:pt idx="267">
                  <c:v>22.795440911817636</c:v>
                </c:pt>
                <c:pt idx="268">
                  <c:v>21.551724137931032</c:v>
                </c:pt>
                <c:pt idx="269">
                  <c:v>20</c:v>
                </c:pt>
                <c:pt idx="271">
                  <c:v>12</c:v>
                </c:pt>
                <c:pt idx="272">
                  <c:v>10.869565217391305</c:v>
                </c:pt>
                <c:pt idx="274">
                  <c:v>32.142857142857146</c:v>
                </c:pt>
                <c:pt idx="276">
                  <c:v>33.061065733177749</c:v>
                </c:pt>
                <c:pt idx="278">
                  <c:v>11.93467336683417</c:v>
                </c:pt>
                <c:pt idx="282">
                  <c:v>15.602836879432624</c:v>
                </c:pt>
                <c:pt idx="284">
                  <c:v>7.8431372549019605</c:v>
                </c:pt>
                <c:pt idx="285">
                  <c:v>5.3712480252764614</c:v>
                </c:pt>
                <c:pt idx="286">
                  <c:v>12.468827930174564</c:v>
                </c:pt>
                <c:pt idx="288">
                  <c:v>354.16666666666669</c:v>
                </c:pt>
                <c:pt idx="289">
                  <c:v>533.33333333333337</c:v>
                </c:pt>
                <c:pt idx="295">
                  <c:v>15.384615384615383</c:v>
                </c:pt>
                <c:pt idx="296">
                  <c:v>17.002237136465325</c:v>
                </c:pt>
                <c:pt idx="297">
                  <c:v>15.181004281821721</c:v>
                </c:pt>
                <c:pt idx="305">
                  <c:v>28.806584362139919</c:v>
                </c:pt>
                <c:pt idx="306">
                  <c:v>6.2189054726368163</c:v>
                </c:pt>
                <c:pt idx="308">
                  <c:v>6.3559322033898313</c:v>
                </c:pt>
                <c:pt idx="314">
                  <c:v>22.357723577235774</c:v>
                </c:pt>
                <c:pt idx="315">
                  <c:v>69.565217391304344</c:v>
                </c:pt>
                <c:pt idx="316">
                  <c:v>21.634615384615383</c:v>
                </c:pt>
                <c:pt idx="317">
                  <c:v>24.038461538461537</c:v>
                </c:pt>
                <c:pt idx="318">
                  <c:v>22.789425706472198</c:v>
                </c:pt>
                <c:pt idx="330">
                  <c:v>23.904382470119526</c:v>
                </c:pt>
                <c:pt idx="357">
                  <c:v>17.388339584043642</c:v>
                </c:pt>
                <c:pt idx="381">
                  <c:v>65.476190476190482</c:v>
                </c:pt>
                <c:pt idx="382">
                  <c:v>21.852731591448933</c:v>
                </c:pt>
                <c:pt idx="411">
                  <c:v>4.430719656283566</c:v>
                </c:pt>
                <c:pt idx="412">
                  <c:v>16.085790884718499</c:v>
                </c:pt>
                <c:pt idx="413">
                  <c:v>12.875536480686694</c:v>
                </c:pt>
                <c:pt idx="416">
                  <c:v>3.1421838177533385</c:v>
                </c:pt>
                <c:pt idx="417">
                  <c:v>13.024602026049203</c:v>
                </c:pt>
                <c:pt idx="421">
                  <c:v>8.3769633507853403</c:v>
                </c:pt>
                <c:pt idx="423">
                  <c:v>13.768115942028986</c:v>
                </c:pt>
                <c:pt idx="433">
                  <c:v>24.390243902439025</c:v>
                </c:pt>
                <c:pt idx="434">
                  <c:v>60</c:v>
                </c:pt>
                <c:pt idx="435">
                  <c:v>35</c:v>
                </c:pt>
                <c:pt idx="436">
                  <c:v>29.579067121729238</c:v>
                </c:pt>
                <c:pt idx="437">
                  <c:v>14.245014245014245</c:v>
                </c:pt>
                <c:pt idx="438">
                  <c:v>50</c:v>
                </c:pt>
                <c:pt idx="444">
                  <c:v>16.901408450704224</c:v>
                </c:pt>
                <c:pt idx="445">
                  <c:v>16.902274124154886</c:v>
                </c:pt>
                <c:pt idx="463">
                  <c:v>11.2</c:v>
                </c:pt>
                <c:pt idx="467">
                  <c:v>5.0753809419445632</c:v>
                </c:pt>
                <c:pt idx="468">
                  <c:v>4.7400611620795106</c:v>
                </c:pt>
                <c:pt idx="470">
                  <c:v>240</c:v>
                </c:pt>
                <c:pt idx="472">
                  <c:v>6.4267352185089974</c:v>
                </c:pt>
                <c:pt idx="473">
                  <c:v>50.40650406504065</c:v>
                </c:pt>
                <c:pt idx="478">
                  <c:v>23.116779593463534</c:v>
                </c:pt>
                <c:pt idx="480">
                  <c:v>8.7584847821326903</c:v>
                </c:pt>
                <c:pt idx="481">
                  <c:v>14.328358208955224</c:v>
                </c:pt>
                <c:pt idx="484">
                  <c:v>17.647058823529413</c:v>
                </c:pt>
                <c:pt idx="486">
                  <c:v>14.10105757931845</c:v>
                </c:pt>
                <c:pt idx="487">
                  <c:v>13.506994693680657</c:v>
                </c:pt>
                <c:pt idx="489">
                  <c:v>6.9894522811030626</c:v>
                </c:pt>
                <c:pt idx="491">
                  <c:v>6.6006600660066006</c:v>
                </c:pt>
                <c:pt idx="496">
                  <c:v>4.2291950886766712</c:v>
                </c:pt>
                <c:pt idx="499">
                  <c:v>6.6473988439306364</c:v>
                </c:pt>
                <c:pt idx="505">
                  <c:v>2.8735632183908044</c:v>
                </c:pt>
                <c:pt idx="526">
                  <c:v>11.907715207144628</c:v>
                </c:pt>
                <c:pt idx="529">
                  <c:v>10.256410256410257</c:v>
                </c:pt>
                <c:pt idx="530">
                  <c:v>5.7377049180327866</c:v>
                </c:pt>
                <c:pt idx="531">
                  <c:v>2.7777777777777777</c:v>
                </c:pt>
                <c:pt idx="532">
                  <c:v>1.2145748987854252</c:v>
                </c:pt>
                <c:pt idx="542">
                  <c:v>17.486338797814209</c:v>
                </c:pt>
                <c:pt idx="551">
                  <c:v>11.786600496277917</c:v>
                </c:pt>
                <c:pt idx="552">
                  <c:v>5.7971014492753623</c:v>
                </c:pt>
                <c:pt idx="553">
                  <c:v>1.5859030837004404</c:v>
                </c:pt>
                <c:pt idx="554">
                  <c:v>48.275862068965516</c:v>
                </c:pt>
                <c:pt idx="555">
                  <c:v>10.365853658536587</c:v>
                </c:pt>
                <c:pt idx="556">
                  <c:v>64.63288521199587</c:v>
                </c:pt>
                <c:pt idx="557">
                  <c:v>58.346839546191248</c:v>
                </c:pt>
                <c:pt idx="560">
                  <c:v>33.333333333333336</c:v>
                </c:pt>
                <c:pt idx="561">
                  <c:v>25</c:v>
                </c:pt>
                <c:pt idx="562">
                  <c:v>16.216216216216218</c:v>
                </c:pt>
                <c:pt idx="564">
                  <c:v>4.8707381041588604</c:v>
                </c:pt>
                <c:pt idx="567">
                  <c:v>9.3567251461988299</c:v>
                </c:pt>
                <c:pt idx="570">
                  <c:v>2.502606882168926</c:v>
                </c:pt>
                <c:pt idx="571">
                  <c:v>42.335766423357668</c:v>
                </c:pt>
                <c:pt idx="572">
                  <c:v>12.698412698412698</c:v>
                </c:pt>
                <c:pt idx="573">
                  <c:v>146.34146341463415</c:v>
                </c:pt>
                <c:pt idx="574">
                  <c:v>14.389456697149006</c:v>
                </c:pt>
                <c:pt idx="575">
                  <c:v>18.75</c:v>
                </c:pt>
                <c:pt idx="576">
                  <c:v>15.384615384615385</c:v>
                </c:pt>
                <c:pt idx="577">
                  <c:v>22.222222222222221</c:v>
                </c:pt>
                <c:pt idx="578">
                  <c:v>19</c:v>
                </c:pt>
                <c:pt idx="579">
                  <c:v>37.5</c:v>
                </c:pt>
                <c:pt idx="580">
                  <c:v>16.455696202531648</c:v>
                </c:pt>
                <c:pt idx="622">
                  <c:v>18.439716312056735</c:v>
                </c:pt>
                <c:pt idx="638">
                  <c:v>10.789473684210526</c:v>
                </c:pt>
                <c:pt idx="640">
                  <c:v>10.97972972972973</c:v>
                </c:pt>
                <c:pt idx="641">
                  <c:v>4.7169811320754711</c:v>
                </c:pt>
                <c:pt idx="645">
                  <c:v>37.777777777777779</c:v>
                </c:pt>
                <c:pt idx="649">
                  <c:v>20</c:v>
                </c:pt>
                <c:pt idx="650">
                  <c:v>20.842194810718844</c:v>
                </c:pt>
                <c:pt idx="652">
                  <c:v>17.404276479363499</c:v>
                </c:pt>
                <c:pt idx="653">
                  <c:v>5.7352941176470589</c:v>
                </c:pt>
                <c:pt idx="654">
                  <c:v>3.833333333333333</c:v>
                </c:pt>
                <c:pt idx="658">
                  <c:v>3.9370078740157481</c:v>
                </c:pt>
                <c:pt idx="659">
                  <c:v>2.8</c:v>
                </c:pt>
                <c:pt idx="664">
                  <c:v>2.9708853238265003</c:v>
                </c:pt>
                <c:pt idx="675">
                  <c:v>5.9079601990049753</c:v>
                </c:pt>
                <c:pt idx="676">
                  <c:v>14.740566037735849</c:v>
                </c:pt>
                <c:pt idx="691">
                  <c:v>22.271714922048996</c:v>
                </c:pt>
                <c:pt idx="692">
                  <c:v>19.512195121951219</c:v>
                </c:pt>
                <c:pt idx="693">
                  <c:v>13.407821229050279</c:v>
                </c:pt>
                <c:pt idx="694">
                  <c:v>10.526315789473683</c:v>
                </c:pt>
                <c:pt idx="695">
                  <c:v>16.352201257861633</c:v>
                </c:pt>
                <c:pt idx="696">
                  <c:v>14.965986394557822</c:v>
                </c:pt>
                <c:pt idx="697">
                  <c:v>10.451306413301662</c:v>
                </c:pt>
                <c:pt idx="698">
                  <c:v>5.7142857142857144</c:v>
                </c:pt>
                <c:pt idx="699">
                  <c:v>8.7318087318087318</c:v>
                </c:pt>
                <c:pt idx="700">
                  <c:v>11.368804001819008</c:v>
                </c:pt>
                <c:pt idx="701">
                  <c:v>6.5151515151515156</c:v>
                </c:pt>
                <c:pt idx="703">
                  <c:v>9.497816593886462</c:v>
                </c:pt>
                <c:pt idx="704">
                  <c:v>5.9740259740259738</c:v>
                </c:pt>
                <c:pt idx="706">
                  <c:v>6.8062827225130889</c:v>
                </c:pt>
                <c:pt idx="743">
                  <c:v>14.906303236797275</c:v>
                </c:pt>
                <c:pt idx="748">
                  <c:v>304</c:v>
                </c:pt>
                <c:pt idx="749">
                  <c:v>457.14285714285717</c:v>
                </c:pt>
                <c:pt idx="750">
                  <c:v>826.92307692307691</c:v>
                </c:pt>
                <c:pt idx="751">
                  <c:v>6.3559322033898313</c:v>
                </c:pt>
                <c:pt idx="752">
                  <c:v>12.274122059324924</c:v>
                </c:pt>
                <c:pt idx="754">
                  <c:v>24.661893396976929</c:v>
                </c:pt>
                <c:pt idx="760">
                  <c:v>7.3529411764705879</c:v>
                </c:pt>
                <c:pt idx="761">
                  <c:v>122.80701754385964</c:v>
                </c:pt>
                <c:pt idx="762">
                  <c:v>106.09756097560975</c:v>
                </c:pt>
                <c:pt idx="763">
                  <c:v>8.0568720379146921</c:v>
                </c:pt>
              </c:numCache>
            </c:numRef>
          </c:xVal>
          <c:yVal>
            <c:numRef>
              <c:f>'All sites'!$Q$5:$Q$765</c:f>
              <c:numCache>
                <c:formatCode>0.00</c:formatCode>
                <c:ptCount val="761"/>
                <c:pt idx="0">
                  <c:v>1.1709601873536299</c:v>
                </c:pt>
                <c:pt idx="1">
                  <c:v>0.68337129840546695</c:v>
                </c:pt>
                <c:pt idx="22">
                  <c:v>1.4251781472684086</c:v>
                </c:pt>
                <c:pt idx="26">
                  <c:v>2.9880478087649402</c:v>
                </c:pt>
                <c:pt idx="27">
                  <c:v>3.2573289902280131</c:v>
                </c:pt>
                <c:pt idx="30">
                  <c:v>1.9215987701767869</c:v>
                </c:pt>
                <c:pt idx="33">
                  <c:v>2.0060180541624875</c:v>
                </c:pt>
                <c:pt idx="34">
                  <c:v>1.3407393219689716</c:v>
                </c:pt>
                <c:pt idx="35">
                  <c:v>1.540041067761807</c:v>
                </c:pt>
                <c:pt idx="36">
                  <c:v>1.8547581680696248</c:v>
                </c:pt>
                <c:pt idx="37">
                  <c:v>8.7145969498910691</c:v>
                </c:pt>
                <c:pt idx="38">
                  <c:v>1.2924906294429364</c:v>
                </c:pt>
                <c:pt idx="39">
                  <c:v>0.88235294117647067</c:v>
                </c:pt>
                <c:pt idx="40">
                  <c:v>3.4013605442176869</c:v>
                </c:pt>
                <c:pt idx="41">
                  <c:v>3.9816232771822357</c:v>
                </c:pt>
                <c:pt idx="44">
                  <c:v>2.8571428571428572</c:v>
                </c:pt>
                <c:pt idx="45">
                  <c:v>2.34375</c:v>
                </c:pt>
                <c:pt idx="50">
                  <c:v>2.3195876288659796</c:v>
                </c:pt>
                <c:pt idx="54">
                  <c:v>1.6877637130801688</c:v>
                </c:pt>
                <c:pt idx="55">
                  <c:v>3.4188034188034186</c:v>
                </c:pt>
                <c:pt idx="56">
                  <c:v>3.4722222222222219</c:v>
                </c:pt>
                <c:pt idx="57">
                  <c:v>1.1627906976744187</c:v>
                </c:pt>
                <c:pt idx="62">
                  <c:v>4.4767767207610527</c:v>
                </c:pt>
                <c:pt idx="64">
                  <c:v>3.4317089910775569</c:v>
                </c:pt>
                <c:pt idx="65">
                  <c:v>1.0973936899862826</c:v>
                </c:pt>
                <c:pt idx="66">
                  <c:v>0.87719298245614041</c:v>
                </c:pt>
                <c:pt idx="67">
                  <c:v>1.2755102040816326</c:v>
                </c:pt>
                <c:pt idx="68">
                  <c:v>1.0973936899862826</c:v>
                </c:pt>
                <c:pt idx="69">
                  <c:v>2.5526483726866624</c:v>
                </c:pt>
                <c:pt idx="70">
                  <c:v>3.834355828220859</c:v>
                </c:pt>
                <c:pt idx="71">
                  <c:v>0.93808630393996251</c:v>
                </c:pt>
                <c:pt idx="72">
                  <c:v>0.98352594049668063</c:v>
                </c:pt>
                <c:pt idx="73">
                  <c:v>2.9644268774703555</c:v>
                </c:pt>
                <c:pt idx="75">
                  <c:v>0.80515297906602257</c:v>
                </c:pt>
                <c:pt idx="81">
                  <c:v>1.7094017094017093</c:v>
                </c:pt>
                <c:pt idx="84">
                  <c:v>15.384615384615385</c:v>
                </c:pt>
                <c:pt idx="86">
                  <c:v>11.235955056179774</c:v>
                </c:pt>
                <c:pt idx="87">
                  <c:v>1.0869565217391304</c:v>
                </c:pt>
                <c:pt idx="88">
                  <c:v>1.0695187165775402</c:v>
                </c:pt>
                <c:pt idx="89">
                  <c:v>269.23076923076923</c:v>
                </c:pt>
                <c:pt idx="90">
                  <c:v>0.94339622641509435</c:v>
                </c:pt>
                <c:pt idx="98">
                  <c:v>1.2345679012345678</c:v>
                </c:pt>
                <c:pt idx="99">
                  <c:v>1.3605442176870748</c:v>
                </c:pt>
                <c:pt idx="100">
                  <c:v>4</c:v>
                </c:pt>
                <c:pt idx="101">
                  <c:v>0.89766606822262118</c:v>
                </c:pt>
                <c:pt idx="102">
                  <c:v>2.2831050228310499</c:v>
                </c:pt>
                <c:pt idx="103">
                  <c:v>2.0080321285140559</c:v>
                </c:pt>
                <c:pt idx="104">
                  <c:v>1.8726591760299625</c:v>
                </c:pt>
                <c:pt idx="105">
                  <c:v>7.5471698113207548</c:v>
                </c:pt>
                <c:pt idx="112">
                  <c:v>0.89365504915102767</c:v>
                </c:pt>
                <c:pt idx="113">
                  <c:v>0.89615772375938163</c:v>
                </c:pt>
                <c:pt idx="114">
                  <c:v>0.77294685990338163</c:v>
                </c:pt>
                <c:pt idx="132">
                  <c:v>2.2900763358778629</c:v>
                </c:pt>
                <c:pt idx="133">
                  <c:v>22.471910112359549</c:v>
                </c:pt>
                <c:pt idx="134">
                  <c:v>0.79333597778659259</c:v>
                </c:pt>
                <c:pt idx="137">
                  <c:v>6.8493150684931505</c:v>
                </c:pt>
                <c:pt idx="138">
                  <c:v>1.4925373134328359</c:v>
                </c:pt>
                <c:pt idx="139">
                  <c:v>1.6853932584269664</c:v>
                </c:pt>
                <c:pt idx="140">
                  <c:v>8.8235294117647065</c:v>
                </c:pt>
                <c:pt idx="145">
                  <c:v>0.54054054054054057</c:v>
                </c:pt>
                <c:pt idx="146">
                  <c:v>1.4285714285714286</c:v>
                </c:pt>
                <c:pt idx="147">
                  <c:v>2.4096385542168677</c:v>
                </c:pt>
                <c:pt idx="148">
                  <c:v>1.5968063872255489</c:v>
                </c:pt>
                <c:pt idx="157">
                  <c:v>2.3771790808240887</c:v>
                </c:pt>
                <c:pt idx="158">
                  <c:v>1.3218770654329146</c:v>
                </c:pt>
                <c:pt idx="159">
                  <c:v>6.1050061050061046</c:v>
                </c:pt>
                <c:pt idx="160">
                  <c:v>0.76142131979695427</c:v>
                </c:pt>
                <c:pt idx="174">
                  <c:v>2.3809523809523814</c:v>
                </c:pt>
                <c:pt idx="175">
                  <c:v>10.101010101010102</c:v>
                </c:pt>
                <c:pt idx="176">
                  <c:v>1.4814814814814814</c:v>
                </c:pt>
                <c:pt idx="178">
                  <c:v>6.0085836909871251</c:v>
                </c:pt>
                <c:pt idx="179">
                  <c:v>2.3696682464454977</c:v>
                </c:pt>
                <c:pt idx="181">
                  <c:v>3.986710963455149</c:v>
                </c:pt>
                <c:pt idx="183">
                  <c:v>1.4218009478672986</c:v>
                </c:pt>
                <c:pt idx="184">
                  <c:v>52.173913043478258</c:v>
                </c:pt>
                <c:pt idx="185">
                  <c:v>4.511278195488722</c:v>
                </c:pt>
                <c:pt idx="187">
                  <c:v>4.0816326530612246</c:v>
                </c:pt>
                <c:pt idx="188">
                  <c:v>5.1282051282051286</c:v>
                </c:pt>
                <c:pt idx="189">
                  <c:v>3.7383177570093458</c:v>
                </c:pt>
                <c:pt idx="190">
                  <c:v>1.3856812933025404</c:v>
                </c:pt>
                <c:pt idx="210">
                  <c:v>1.4545454545454544</c:v>
                </c:pt>
                <c:pt idx="211">
                  <c:v>3.225806451612903</c:v>
                </c:pt>
                <c:pt idx="214">
                  <c:v>0.90090090090090091</c:v>
                </c:pt>
                <c:pt idx="217">
                  <c:v>1.7543859649122808</c:v>
                </c:pt>
                <c:pt idx="218">
                  <c:v>1.6863406408094435</c:v>
                </c:pt>
                <c:pt idx="219">
                  <c:v>1.1885467314964884</c:v>
                </c:pt>
                <c:pt idx="220">
                  <c:v>3.0769230769230771</c:v>
                </c:pt>
                <c:pt idx="225">
                  <c:v>0.50125313283208017</c:v>
                </c:pt>
                <c:pt idx="226">
                  <c:v>4.9140049140049138</c:v>
                </c:pt>
                <c:pt idx="227">
                  <c:v>3.0971738288811461</c:v>
                </c:pt>
                <c:pt idx="229">
                  <c:v>5.7361376673040159</c:v>
                </c:pt>
                <c:pt idx="253">
                  <c:v>1.4150943396226414</c:v>
                </c:pt>
                <c:pt idx="254">
                  <c:v>4.5480386583285952</c:v>
                </c:pt>
                <c:pt idx="256">
                  <c:v>1.1534025374855825</c:v>
                </c:pt>
                <c:pt idx="257">
                  <c:v>1.1784511784511784</c:v>
                </c:pt>
                <c:pt idx="258">
                  <c:v>3.125</c:v>
                </c:pt>
                <c:pt idx="263">
                  <c:v>2.7027027027027026</c:v>
                </c:pt>
                <c:pt idx="264">
                  <c:v>2.3995200959808036</c:v>
                </c:pt>
                <c:pt idx="265">
                  <c:v>2.6939655172413794</c:v>
                </c:pt>
                <c:pt idx="266">
                  <c:v>5.7142857142857144</c:v>
                </c:pt>
                <c:pt idx="268">
                  <c:v>8</c:v>
                </c:pt>
                <c:pt idx="269">
                  <c:v>4.3478260869565215</c:v>
                </c:pt>
                <c:pt idx="271">
                  <c:v>1.7857142857142856</c:v>
                </c:pt>
                <c:pt idx="273">
                  <c:v>2.3337222870478409</c:v>
                </c:pt>
                <c:pt idx="275">
                  <c:v>0.75376884422110546</c:v>
                </c:pt>
                <c:pt idx="279">
                  <c:v>1.4184397163120568</c:v>
                </c:pt>
                <c:pt idx="281">
                  <c:v>0.65359477124183007</c:v>
                </c:pt>
                <c:pt idx="282">
                  <c:v>0.47393364928909953</c:v>
                </c:pt>
                <c:pt idx="283">
                  <c:v>0.99750623441396502</c:v>
                </c:pt>
                <c:pt idx="285">
                  <c:v>16.666666666666668</c:v>
                </c:pt>
                <c:pt idx="286">
                  <c:v>66.666666666666671</c:v>
                </c:pt>
                <c:pt idx="292">
                  <c:v>5.7692307692307692</c:v>
                </c:pt>
                <c:pt idx="293">
                  <c:v>4.9217002237136471</c:v>
                </c:pt>
                <c:pt idx="294">
                  <c:v>3.1140521603736859</c:v>
                </c:pt>
                <c:pt idx="302">
                  <c:v>5.1440329218106999</c:v>
                </c:pt>
                <c:pt idx="303">
                  <c:v>0.99502487562189046</c:v>
                </c:pt>
                <c:pt idx="305">
                  <c:v>1.271186440677966</c:v>
                </c:pt>
                <c:pt idx="311">
                  <c:v>0.81300813008130079</c:v>
                </c:pt>
                <c:pt idx="312">
                  <c:v>34.782608695652172</c:v>
                </c:pt>
                <c:pt idx="313">
                  <c:v>2.4038461538461542</c:v>
                </c:pt>
                <c:pt idx="314">
                  <c:v>2.4038461538461542</c:v>
                </c:pt>
                <c:pt idx="315">
                  <c:v>3.1905195989061075</c:v>
                </c:pt>
                <c:pt idx="327">
                  <c:v>2.3904382470119518</c:v>
                </c:pt>
                <c:pt idx="354">
                  <c:v>4.0913740197749746</c:v>
                </c:pt>
                <c:pt idx="378">
                  <c:v>11.904761904761903</c:v>
                </c:pt>
                <c:pt idx="379">
                  <c:v>4.2755344418052257</c:v>
                </c:pt>
                <c:pt idx="408">
                  <c:v>1.745435016111708</c:v>
                </c:pt>
                <c:pt idx="409">
                  <c:v>1.6085790884718498</c:v>
                </c:pt>
                <c:pt idx="410">
                  <c:v>1.2875536480686696</c:v>
                </c:pt>
                <c:pt idx="413">
                  <c:v>1.0473946059177797</c:v>
                </c:pt>
                <c:pt idx="414">
                  <c:v>2.6049204052098407</c:v>
                </c:pt>
                <c:pt idx="418">
                  <c:v>1.0471204188481678</c:v>
                </c:pt>
                <c:pt idx="420">
                  <c:v>1.4492753623188406</c:v>
                </c:pt>
                <c:pt idx="430">
                  <c:v>13.414634146341463</c:v>
                </c:pt>
                <c:pt idx="431">
                  <c:v>15</c:v>
                </c:pt>
                <c:pt idx="432">
                  <c:v>15</c:v>
                </c:pt>
                <c:pt idx="433">
                  <c:v>9.3287827076222989</c:v>
                </c:pt>
                <c:pt idx="434">
                  <c:v>1.4245014245014245</c:v>
                </c:pt>
                <c:pt idx="435">
                  <c:v>16.666666666666668</c:v>
                </c:pt>
                <c:pt idx="441">
                  <c:v>5.6338028169014089</c:v>
                </c:pt>
                <c:pt idx="442">
                  <c:v>1.5365703749231714</c:v>
                </c:pt>
                <c:pt idx="460">
                  <c:v>0.8</c:v>
                </c:pt>
                <c:pt idx="464">
                  <c:v>0.80744696803663507</c:v>
                </c:pt>
                <c:pt idx="465">
                  <c:v>1.070336391437309</c:v>
                </c:pt>
                <c:pt idx="467">
                  <c:v>80</c:v>
                </c:pt>
                <c:pt idx="469">
                  <c:v>1.0282776349614395</c:v>
                </c:pt>
                <c:pt idx="470">
                  <c:v>8.1300813008130088</c:v>
                </c:pt>
                <c:pt idx="475">
                  <c:v>2.7899561578318055</c:v>
                </c:pt>
                <c:pt idx="477">
                  <c:v>1.7516969564265383</c:v>
                </c:pt>
                <c:pt idx="478">
                  <c:v>2.3880597014925375</c:v>
                </c:pt>
                <c:pt idx="481">
                  <c:v>1.1764705882352939</c:v>
                </c:pt>
                <c:pt idx="483">
                  <c:v>2.3501762632197414</c:v>
                </c:pt>
                <c:pt idx="484">
                  <c:v>1.4471780028943559</c:v>
                </c:pt>
                <c:pt idx="486">
                  <c:v>1.3978904562206125</c:v>
                </c:pt>
                <c:pt idx="488">
                  <c:v>1.6501650165016502</c:v>
                </c:pt>
                <c:pt idx="493">
                  <c:v>0.68212824010914053</c:v>
                </c:pt>
                <c:pt idx="496">
                  <c:v>1.0115606936416184</c:v>
                </c:pt>
                <c:pt idx="502">
                  <c:v>0.57471264367816088</c:v>
                </c:pt>
                <c:pt idx="523">
                  <c:v>2.2326966013396179</c:v>
                </c:pt>
                <c:pt idx="526">
                  <c:v>1.9230769230769231</c:v>
                </c:pt>
                <c:pt idx="527">
                  <c:v>1.639344262295082</c:v>
                </c:pt>
                <c:pt idx="528">
                  <c:v>9.2592592592592595</c:v>
                </c:pt>
                <c:pt idx="529">
                  <c:v>1.6194331983805668</c:v>
                </c:pt>
                <c:pt idx="539">
                  <c:v>5.4644808743169397</c:v>
                </c:pt>
                <c:pt idx="548">
                  <c:v>2.1712158808933002</c:v>
                </c:pt>
                <c:pt idx="549">
                  <c:v>2.8985507246376812</c:v>
                </c:pt>
                <c:pt idx="550">
                  <c:v>0.70484581497797361</c:v>
                </c:pt>
                <c:pt idx="551">
                  <c:v>13.793103448275861</c:v>
                </c:pt>
                <c:pt idx="552">
                  <c:v>1.8292682926829269</c:v>
                </c:pt>
                <c:pt idx="553">
                  <c:v>4.6535677352637022</c:v>
                </c:pt>
                <c:pt idx="554">
                  <c:v>14.586709886547812</c:v>
                </c:pt>
                <c:pt idx="557">
                  <c:v>5</c:v>
                </c:pt>
                <c:pt idx="558">
                  <c:v>1.6666666666666667</c:v>
                </c:pt>
                <c:pt idx="559">
                  <c:v>1.6216216216216215</c:v>
                </c:pt>
                <c:pt idx="561">
                  <c:v>2.4353690520794302</c:v>
                </c:pt>
                <c:pt idx="564">
                  <c:v>5.8479532163742682</c:v>
                </c:pt>
                <c:pt idx="567">
                  <c:v>0.6256517205422315</c:v>
                </c:pt>
                <c:pt idx="568">
                  <c:v>1.751824817518248</c:v>
                </c:pt>
                <c:pt idx="569">
                  <c:v>0.90702947845804993</c:v>
                </c:pt>
                <c:pt idx="570">
                  <c:v>2.4390243902439024</c:v>
                </c:pt>
                <c:pt idx="571">
                  <c:v>0.40344271113501884</c:v>
                </c:pt>
                <c:pt idx="572">
                  <c:v>2.7777777777777777</c:v>
                </c:pt>
                <c:pt idx="573">
                  <c:v>7.6923076923076925</c:v>
                </c:pt>
                <c:pt idx="574">
                  <c:v>7.4074074074074074</c:v>
                </c:pt>
                <c:pt idx="575">
                  <c:v>23</c:v>
                </c:pt>
                <c:pt idx="576">
                  <c:v>20.192307692307693</c:v>
                </c:pt>
                <c:pt idx="577">
                  <c:v>37.974683544303801</c:v>
                </c:pt>
                <c:pt idx="619">
                  <c:v>5.6737588652482271</c:v>
                </c:pt>
                <c:pt idx="635">
                  <c:v>2.6315789473684208</c:v>
                </c:pt>
                <c:pt idx="637">
                  <c:v>3.3783783783783785</c:v>
                </c:pt>
                <c:pt idx="638">
                  <c:v>1.8867924528301887</c:v>
                </c:pt>
                <c:pt idx="642">
                  <c:v>8.8888888888888893</c:v>
                </c:pt>
                <c:pt idx="646">
                  <c:v>3.3333333333333335</c:v>
                </c:pt>
                <c:pt idx="647">
                  <c:v>6.3802637175669927</c:v>
                </c:pt>
                <c:pt idx="649">
                  <c:v>4.9726504226752857</c:v>
                </c:pt>
                <c:pt idx="650">
                  <c:v>0.58823529411764697</c:v>
                </c:pt>
                <c:pt idx="651">
                  <c:v>0.83333333333333337</c:v>
                </c:pt>
                <c:pt idx="655">
                  <c:v>0.89988751406074241</c:v>
                </c:pt>
                <c:pt idx="656">
                  <c:v>1.2</c:v>
                </c:pt>
                <c:pt idx="661">
                  <c:v>0.44563279857397503</c:v>
                </c:pt>
                <c:pt idx="672">
                  <c:v>2.4875621890547261</c:v>
                </c:pt>
                <c:pt idx="673">
                  <c:v>5.8962264150943398</c:v>
                </c:pt>
                <c:pt idx="688">
                  <c:v>4.4543429844097995</c:v>
                </c:pt>
                <c:pt idx="689">
                  <c:v>4.3902439024390247</c:v>
                </c:pt>
                <c:pt idx="690">
                  <c:v>5.5865921787709496</c:v>
                </c:pt>
                <c:pt idx="691">
                  <c:v>5.8479532163742682</c:v>
                </c:pt>
                <c:pt idx="692">
                  <c:v>3.7735849056603774</c:v>
                </c:pt>
                <c:pt idx="693">
                  <c:v>9.5238095238095255</c:v>
                </c:pt>
                <c:pt idx="694">
                  <c:v>2.8503562945368173</c:v>
                </c:pt>
                <c:pt idx="695">
                  <c:v>2.6373626373626373</c:v>
                </c:pt>
                <c:pt idx="696">
                  <c:v>2.4948024948024949</c:v>
                </c:pt>
                <c:pt idx="697">
                  <c:v>2.0918599363346972</c:v>
                </c:pt>
                <c:pt idx="698">
                  <c:v>0.75757575757575757</c:v>
                </c:pt>
                <c:pt idx="700">
                  <c:v>1.0917030567685588</c:v>
                </c:pt>
                <c:pt idx="701">
                  <c:v>0.77922077922077926</c:v>
                </c:pt>
                <c:pt idx="703">
                  <c:v>2.6178010471204192</c:v>
                </c:pt>
                <c:pt idx="740">
                  <c:v>1.4906303236797276</c:v>
                </c:pt>
                <c:pt idx="745">
                  <c:v>120</c:v>
                </c:pt>
                <c:pt idx="746">
                  <c:v>161.90476190476193</c:v>
                </c:pt>
                <c:pt idx="747">
                  <c:v>269.23076923076923</c:v>
                </c:pt>
                <c:pt idx="748">
                  <c:v>1.271186440677966</c:v>
                </c:pt>
                <c:pt idx="749">
                  <c:v>4.0913740197749746</c:v>
                </c:pt>
                <c:pt idx="751">
                  <c:v>1.5910898965791567</c:v>
                </c:pt>
                <c:pt idx="757">
                  <c:v>4.4117647058823533</c:v>
                </c:pt>
                <c:pt idx="758">
                  <c:v>2.4561403508771931</c:v>
                </c:pt>
                <c:pt idx="759">
                  <c:v>2.4390243902439024</c:v>
                </c:pt>
                <c:pt idx="760">
                  <c:v>5.2132701421800949</c:v>
                </c:pt>
              </c:numCache>
            </c:numRef>
          </c:yVal>
        </c:ser>
        <c:dLbls/>
        <c:axId val="84050688"/>
        <c:axId val="84052608"/>
      </c:scatterChart>
      <c:valAx>
        <c:axId val="84050688"/>
        <c:scaling>
          <c:orientation val="minMax"/>
          <c:max val="500"/>
        </c:scaling>
        <c:axPos val="b"/>
        <c:title>
          <c:tx>
            <c:rich>
              <a:bodyPr/>
              <a:lstStyle/>
              <a:p>
                <a:pPr>
                  <a:defRPr sz="1600"/>
                </a:pPr>
                <a:r>
                  <a:rPr lang="en-GB" sz="1600">
                    <a:latin typeface="Arial" panose="020B0604020202020204" pitchFamily="34" charset="0"/>
                    <a:cs typeface="Arial" panose="020B0604020202020204" pitchFamily="34" charset="0"/>
                  </a:rPr>
                  <a:t>Sample resolution (n/ka)</a:t>
                </a:r>
              </a:p>
            </c:rich>
          </c:tx>
          <c:layout>
            <c:manualLayout>
              <c:xMode val="edge"/>
              <c:yMode val="edge"/>
              <c:x val="0.4168389241852134"/>
              <c:y val="0.95593149540517974"/>
            </c:manualLayout>
          </c:layout>
        </c:title>
        <c:numFmt formatCode="0" sourceLinked="0"/>
        <c:tickLblPos val="nextTo"/>
        <c:spPr>
          <a:ln w="25400">
            <a:solidFill>
              <a:schemeClr val="tx1"/>
            </a:solidFill>
            <a:tailEnd type="none" w="lg" len="med"/>
          </a:ln>
        </c:spPr>
        <c:txPr>
          <a:bodyPr/>
          <a:lstStyle/>
          <a:p>
            <a:pPr>
              <a:defRPr sz="1400">
                <a:latin typeface="Arial" panose="020B0604020202020204" pitchFamily="34" charset="0"/>
                <a:cs typeface="Arial" panose="020B0604020202020204" pitchFamily="34" charset="0"/>
              </a:defRPr>
            </a:pPr>
            <a:endParaRPr lang="en-US"/>
          </a:p>
        </c:txPr>
        <c:crossAx val="84052608"/>
        <c:crosses val="autoZero"/>
        <c:crossBetween val="midCat"/>
      </c:valAx>
      <c:valAx>
        <c:axId val="84052608"/>
        <c:scaling>
          <c:orientation val="minMax"/>
        </c:scaling>
        <c:axPos val="l"/>
        <c:majorGridlines>
          <c:spPr>
            <a:ln>
              <a:noFill/>
            </a:ln>
          </c:spPr>
        </c:majorGridlines>
        <c:title>
          <c:tx>
            <c:rich>
              <a:bodyPr rot="-5400000" vert="horz"/>
              <a:lstStyle/>
              <a:p>
                <a:pPr>
                  <a:defRPr sz="1600">
                    <a:latin typeface="Arial" panose="020B0604020202020204" pitchFamily="34" charset="0"/>
                    <a:cs typeface="Arial" panose="020B0604020202020204" pitchFamily="34" charset="0"/>
                  </a:defRPr>
                </a:pPr>
                <a:r>
                  <a:rPr lang="en-GB" sz="1600">
                    <a:latin typeface="Arial" panose="020B0604020202020204" pitchFamily="34" charset="0"/>
                    <a:cs typeface="Arial" panose="020B0604020202020204" pitchFamily="34" charset="0"/>
                  </a:rPr>
                  <a:t>Date density (n/ka)</a:t>
                </a:r>
              </a:p>
            </c:rich>
          </c:tx>
          <c:layout>
            <c:manualLayout>
              <c:xMode val="edge"/>
              <c:yMode val="edge"/>
              <c:x val="5.4555373704309879E-3"/>
              <c:y val="0.30275508324617312"/>
            </c:manualLayout>
          </c:layout>
        </c:title>
        <c:numFmt formatCode="0" sourceLinked="0"/>
        <c:tickLblPos val="nextTo"/>
        <c:spPr>
          <a:ln w="25400">
            <a:solidFill>
              <a:schemeClr val="tx1"/>
            </a:solidFill>
            <a:tailEnd type="none" w="lg" len="lg"/>
          </a:ln>
        </c:spPr>
        <c:txPr>
          <a:bodyPr/>
          <a:lstStyle/>
          <a:p>
            <a:pPr>
              <a:defRPr sz="1400">
                <a:latin typeface="Arial" panose="020B0604020202020204" pitchFamily="34" charset="0"/>
                <a:cs typeface="Arial" panose="020B0604020202020204" pitchFamily="34" charset="0"/>
              </a:defRPr>
            </a:pPr>
            <a:endParaRPr lang="en-US"/>
          </a:p>
        </c:txPr>
        <c:crossAx val="84050688"/>
        <c:crosses val="autoZero"/>
        <c:crossBetween val="midCat"/>
      </c:valAx>
    </c:plotArea>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4020" cy="60807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4020" cy="60807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4020" cy="60807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765"/>
  <sheetViews>
    <sheetView tabSelected="1" zoomScale="80" zoomScaleNormal="80" zoomScalePageLayoutView="80" workbookViewId="0">
      <pane ySplit="1" topLeftCell="A2" activePane="bottomLeft" state="frozen"/>
      <selection pane="bottomLeft"/>
    </sheetView>
  </sheetViews>
  <sheetFormatPr defaultColWidth="8.85546875" defaultRowHeight="33.75" customHeight="1"/>
  <cols>
    <col min="1" max="1" width="3.85546875" style="4" customWidth="1"/>
    <col min="2" max="2" width="27.140625" style="4" bestFit="1" customWidth="1"/>
    <col min="3" max="4" width="8.42578125" style="4" customWidth="1"/>
    <col min="5" max="5" width="23.140625" style="4" bestFit="1" customWidth="1"/>
    <col min="6" max="7" width="8.7109375" style="4" customWidth="1"/>
    <col min="8" max="8" width="17.85546875" style="5" customWidth="1"/>
    <col min="9" max="9" width="14.42578125" style="4" customWidth="1"/>
    <col min="10" max="10" width="10.7109375" style="4" customWidth="1"/>
    <col min="11" max="11" width="9.85546875" style="4" customWidth="1"/>
    <col min="12" max="12" width="9.5703125" style="4" customWidth="1"/>
    <col min="13" max="13" width="10.7109375" style="4" customWidth="1"/>
    <col min="14" max="14" width="10.5703125" style="4" customWidth="1"/>
    <col min="15" max="15" width="18.140625" style="4" customWidth="1"/>
    <col min="16" max="16" width="11.42578125" style="24" customWidth="1"/>
    <col min="17" max="17" width="10.7109375" style="6" customWidth="1"/>
    <col min="18" max="18" width="8" style="4" customWidth="1"/>
    <col min="19" max="19" width="17.7109375" style="4" customWidth="1"/>
    <col min="20" max="20" width="21.5703125" style="6" customWidth="1"/>
    <col min="21" max="21" width="14.42578125" style="4" customWidth="1"/>
    <col min="22" max="22" width="13.5703125" style="4" customWidth="1"/>
    <col min="23" max="23" width="6.85546875" style="4" customWidth="1"/>
    <col min="24" max="24" width="9.85546875" style="4" customWidth="1"/>
    <col min="25" max="25" width="9.28515625" style="4" customWidth="1"/>
    <col min="26" max="26" width="48.42578125" style="4" customWidth="1"/>
    <col min="27" max="27" width="24.42578125" style="4" bestFit="1" customWidth="1"/>
    <col min="28" max="28" width="24.42578125" style="4" customWidth="1"/>
    <col min="29" max="29" width="91.85546875" style="2" bestFit="1" customWidth="1"/>
    <col min="30" max="16384" width="8.85546875" style="2"/>
  </cols>
  <sheetData>
    <row r="1" spans="1:29" s="1" customFormat="1" ht="68.25" customHeight="1">
      <c r="A1" s="7" t="s">
        <v>38</v>
      </c>
      <c r="B1" s="31" t="s">
        <v>316</v>
      </c>
      <c r="C1" s="7" t="s">
        <v>2531</v>
      </c>
      <c r="D1" s="7" t="s">
        <v>2532</v>
      </c>
      <c r="E1" s="7" t="s">
        <v>589</v>
      </c>
      <c r="F1" s="7" t="s">
        <v>588</v>
      </c>
      <c r="G1" s="7" t="s">
        <v>587</v>
      </c>
      <c r="H1" s="32" t="s">
        <v>2533</v>
      </c>
      <c r="I1" s="54" t="s">
        <v>2368</v>
      </c>
      <c r="J1" s="55" t="s">
        <v>2367</v>
      </c>
      <c r="K1" s="7" t="s">
        <v>0</v>
      </c>
      <c r="L1" s="7" t="s">
        <v>2534</v>
      </c>
      <c r="M1" s="31" t="s">
        <v>2535</v>
      </c>
      <c r="N1" s="31" t="s">
        <v>2536</v>
      </c>
      <c r="O1" s="55" t="s">
        <v>2537</v>
      </c>
      <c r="P1" s="57" t="s">
        <v>2538</v>
      </c>
      <c r="Q1" s="56" t="s">
        <v>2539</v>
      </c>
      <c r="R1" s="55" t="s">
        <v>2366</v>
      </c>
      <c r="S1" s="54" t="s">
        <v>2540</v>
      </c>
      <c r="T1" s="33" t="s">
        <v>2541</v>
      </c>
      <c r="U1" s="7" t="s">
        <v>2542</v>
      </c>
      <c r="V1" s="7" t="s">
        <v>590</v>
      </c>
      <c r="W1" s="7" t="s">
        <v>3</v>
      </c>
      <c r="X1" s="7" t="s">
        <v>2543</v>
      </c>
      <c r="Y1" s="7" t="s">
        <v>2544</v>
      </c>
      <c r="Z1" s="31" t="s">
        <v>145</v>
      </c>
      <c r="AA1" s="7" t="s">
        <v>1632</v>
      </c>
      <c r="AB1" s="7" t="s">
        <v>2348</v>
      </c>
      <c r="AC1" s="45" t="s">
        <v>2352</v>
      </c>
    </row>
    <row r="2" spans="1:29" ht="33.75" customHeight="1">
      <c r="A2" s="11">
        <v>6</v>
      </c>
      <c r="B2" s="8" t="s">
        <v>29</v>
      </c>
      <c r="C2" s="9">
        <v>456850</v>
      </c>
      <c r="D2" s="9">
        <v>166820</v>
      </c>
      <c r="E2" s="46" t="s">
        <v>2369</v>
      </c>
      <c r="F2" s="9">
        <v>51.393129000000002</v>
      </c>
      <c r="G2" s="9">
        <v>-1.1914883000000001</v>
      </c>
      <c r="H2" s="10" t="s">
        <v>47</v>
      </c>
      <c r="I2" s="8" t="s">
        <v>907</v>
      </c>
      <c r="J2" s="9">
        <v>59</v>
      </c>
      <c r="K2" s="11" t="s">
        <v>48</v>
      </c>
      <c r="L2" s="11" t="s">
        <v>2</v>
      </c>
      <c r="M2" s="8"/>
      <c r="N2" s="8"/>
      <c r="O2" s="11"/>
      <c r="P2" s="22">
        <v>0</v>
      </c>
      <c r="Q2" s="12"/>
      <c r="R2" s="11" t="s">
        <v>51</v>
      </c>
      <c r="S2" s="8">
        <v>14</v>
      </c>
      <c r="T2" s="12"/>
      <c r="U2" s="11" t="s">
        <v>908</v>
      </c>
      <c r="V2" s="11" t="s">
        <v>594</v>
      </c>
      <c r="W2" s="11" t="s">
        <v>9</v>
      </c>
      <c r="X2" s="9" t="s">
        <v>41</v>
      </c>
      <c r="Y2" s="9" t="s">
        <v>42</v>
      </c>
      <c r="Z2" s="8" t="s">
        <v>149</v>
      </c>
      <c r="AA2" s="9" t="s">
        <v>910</v>
      </c>
      <c r="AB2" s="9" t="s">
        <v>2347</v>
      </c>
      <c r="AC2" s="46" t="s">
        <v>2350</v>
      </c>
    </row>
    <row r="3" spans="1:29" ht="33.75" customHeight="1">
      <c r="A3" s="11">
        <v>6</v>
      </c>
      <c r="B3" s="8" t="s">
        <v>29</v>
      </c>
      <c r="C3" s="9">
        <v>456630</v>
      </c>
      <c r="D3" s="9">
        <v>166440</v>
      </c>
      <c r="E3" s="46" t="s">
        <v>2369</v>
      </c>
      <c r="F3" s="9">
        <v>51.389733999999997</v>
      </c>
      <c r="G3" s="9">
        <v>-1.1947099000000001</v>
      </c>
      <c r="H3" s="10" t="s">
        <v>50</v>
      </c>
      <c r="I3" s="8" t="s">
        <v>907</v>
      </c>
      <c r="J3" s="9">
        <v>57</v>
      </c>
      <c r="K3" s="11" t="s">
        <v>49</v>
      </c>
      <c r="L3" s="11" t="s">
        <v>2</v>
      </c>
      <c r="M3" s="8"/>
      <c r="N3" s="8"/>
      <c r="O3" s="11"/>
      <c r="P3" s="22">
        <v>0</v>
      </c>
      <c r="Q3" s="12"/>
      <c r="R3" s="11" t="s">
        <v>51</v>
      </c>
      <c r="S3" s="8">
        <v>7</v>
      </c>
      <c r="T3" s="12"/>
      <c r="U3" s="11" t="s">
        <v>909</v>
      </c>
      <c r="V3" s="11" t="s">
        <v>594</v>
      </c>
      <c r="W3" s="11" t="s">
        <v>9</v>
      </c>
      <c r="X3" s="9" t="s">
        <v>41</v>
      </c>
      <c r="Y3" s="9" t="s">
        <v>42</v>
      </c>
      <c r="Z3" s="8" t="s">
        <v>611</v>
      </c>
      <c r="AA3" s="9"/>
      <c r="AB3" s="9" t="s">
        <v>2347</v>
      </c>
      <c r="AC3" s="46" t="s">
        <v>2350</v>
      </c>
    </row>
    <row r="4" spans="1:29" ht="33.75" customHeight="1">
      <c r="A4" s="11"/>
      <c r="B4" s="8" t="s">
        <v>1526</v>
      </c>
      <c r="C4" s="26">
        <v>408763</v>
      </c>
      <c r="D4" s="26">
        <v>288385</v>
      </c>
      <c r="E4" s="50" t="s">
        <v>2370</v>
      </c>
      <c r="F4" s="26">
        <v>52.493307000000001</v>
      </c>
      <c r="G4" s="26">
        <v>-1.8723628999999999</v>
      </c>
      <c r="H4" s="10" t="s">
        <v>1529</v>
      </c>
      <c r="I4" s="8" t="s">
        <v>1527</v>
      </c>
      <c r="J4" s="11">
        <v>100</v>
      </c>
      <c r="K4" s="11"/>
      <c r="L4" s="11"/>
      <c r="M4" s="8"/>
      <c r="N4" s="8"/>
      <c r="O4" s="11"/>
      <c r="P4" s="22">
        <v>0</v>
      </c>
      <c r="Q4" s="12"/>
      <c r="R4" s="11"/>
      <c r="S4" s="8">
        <v>25</v>
      </c>
      <c r="T4" s="12"/>
      <c r="U4" s="11" t="s">
        <v>1528</v>
      </c>
      <c r="V4" s="11"/>
      <c r="W4" s="11"/>
      <c r="X4" s="11"/>
      <c r="Y4" s="11"/>
      <c r="Z4" s="8" t="s">
        <v>1530</v>
      </c>
      <c r="AA4" s="11"/>
      <c r="AB4" s="9" t="s">
        <v>2347</v>
      </c>
      <c r="AC4" s="46" t="s">
        <v>2350</v>
      </c>
    </row>
    <row r="5" spans="1:29" ht="33.75" customHeight="1">
      <c r="A5" s="9">
        <v>56</v>
      </c>
      <c r="B5" s="8" t="s">
        <v>420</v>
      </c>
      <c r="C5" s="9">
        <v>214770</v>
      </c>
      <c r="D5" s="9">
        <v>80746</v>
      </c>
      <c r="E5" s="46" t="s">
        <v>2371</v>
      </c>
      <c r="F5" s="9">
        <v>50.592320000000001</v>
      </c>
      <c r="G5" s="9">
        <v>-4.6254099999999996</v>
      </c>
      <c r="H5" s="50" t="s">
        <v>312</v>
      </c>
      <c r="I5" s="8" t="s">
        <v>224</v>
      </c>
      <c r="J5" s="9">
        <v>396</v>
      </c>
      <c r="K5" s="11" t="s">
        <v>43</v>
      </c>
      <c r="L5" s="11" t="s">
        <v>2</v>
      </c>
      <c r="M5" s="8">
        <v>5945</v>
      </c>
      <c r="N5" s="8">
        <v>1675</v>
      </c>
      <c r="O5" s="11">
        <f>M5-N5</f>
        <v>4270</v>
      </c>
      <c r="P5" s="22">
        <v>5</v>
      </c>
      <c r="Q5" s="12">
        <f>P5/O5*1000</f>
        <v>1.1709601873536299</v>
      </c>
      <c r="R5" s="11" t="s">
        <v>40</v>
      </c>
      <c r="S5" s="8">
        <v>20</v>
      </c>
      <c r="T5" s="12">
        <f>S5/(O5/1000)</f>
        <v>4.6838407494145207</v>
      </c>
      <c r="U5" s="11"/>
      <c r="V5" s="11"/>
      <c r="W5" s="11" t="s">
        <v>226</v>
      </c>
      <c r="X5" s="9" t="s">
        <v>195</v>
      </c>
      <c r="Y5" s="9" t="s">
        <v>43</v>
      </c>
      <c r="Z5" s="8" t="s">
        <v>227</v>
      </c>
      <c r="AA5" s="9"/>
      <c r="AB5" s="9" t="s">
        <v>2347</v>
      </c>
      <c r="AC5" s="46" t="s">
        <v>2350</v>
      </c>
    </row>
    <row r="6" spans="1:29" ht="33.75" customHeight="1">
      <c r="A6" s="9">
        <v>56</v>
      </c>
      <c r="B6" s="8" t="s">
        <v>420</v>
      </c>
      <c r="C6" s="9">
        <v>224724</v>
      </c>
      <c r="D6" s="9">
        <v>78415</v>
      </c>
      <c r="E6" s="46" t="s">
        <v>2371</v>
      </c>
      <c r="F6" s="9">
        <v>50.574460999999999</v>
      </c>
      <c r="G6" s="9">
        <v>-4.4838089999999999</v>
      </c>
      <c r="H6" s="49" t="s">
        <v>313</v>
      </c>
      <c r="I6" s="8" t="s">
        <v>225</v>
      </c>
      <c r="J6" s="9">
        <v>300</v>
      </c>
      <c r="K6" s="11" t="s">
        <v>43</v>
      </c>
      <c r="L6" s="11" t="s">
        <v>2</v>
      </c>
      <c r="M6" s="8">
        <v>5830</v>
      </c>
      <c r="N6" s="8">
        <v>1440</v>
      </c>
      <c r="O6" s="11">
        <f>M6-N6</f>
        <v>4390</v>
      </c>
      <c r="P6" s="22">
        <v>3</v>
      </c>
      <c r="Q6" s="12">
        <f>P6/O6*1000</f>
        <v>0.68337129840546695</v>
      </c>
      <c r="R6" s="11" t="s">
        <v>40</v>
      </c>
      <c r="S6" s="8">
        <v>24</v>
      </c>
      <c r="T6" s="12">
        <f>S6/(O6/1000)</f>
        <v>5.4669703872437365</v>
      </c>
      <c r="U6" s="11"/>
      <c r="V6" s="11"/>
      <c r="W6" s="11" t="s">
        <v>226</v>
      </c>
      <c r="X6" s="9" t="s">
        <v>195</v>
      </c>
      <c r="Y6" s="9" t="s">
        <v>43</v>
      </c>
      <c r="Z6" s="8" t="s">
        <v>227</v>
      </c>
      <c r="AA6" s="9"/>
      <c r="AB6" s="9" t="s">
        <v>2347</v>
      </c>
      <c r="AC6" s="46" t="s">
        <v>2350</v>
      </c>
    </row>
    <row r="7" spans="1:29" ht="33.75" customHeight="1">
      <c r="A7" s="9"/>
      <c r="B7" s="8" t="s">
        <v>420</v>
      </c>
      <c r="C7" s="26">
        <v>214697</v>
      </c>
      <c r="D7" s="26">
        <v>81191</v>
      </c>
      <c r="E7" s="46" t="s">
        <v>2371</v>
      </c>
      <c r="F7" s="26">
        <v>50.600946999999998</v>
      </c>
      <c r="G7" s="26">
        <v>-4.6198519999999998</v>
      </c>
      <c r="H7" s="49" t="s">
        <v>1370</v>
      </c>
      <c r="I7" s="8" t="s">
        <v>1355</v>
      </c>
      <c r="J7" s="9">
        <v>350</v>
      </c>
      <c r="K7" s="11" t="s">
        <v>1356</v>
      </c>
      <c r="L7" s="11"/>
      <c r="M7" s="8" t="s">
        <v>1358</v>
      </c>
      <c r="N7" s="8"/>
      <c r="O7" s="11"/>
      <c r="P7" s="22">
        <v>1</v>
      </c>
      <c r="Q7" s="12"/>
      <c r="R7" s="11"/>
      <c r="S7" s="8">
        <v>14</v>
      </c>
      <c r="T7" s="12"/>
      <c r="U7" s="11" t="s">
        <v>857</v>
      </c>
      <c r="V7" s="11" t="s">
        <v>594</v>
      </c>
      <c r="W7" s="11"/>
      <c r="X7" s="9"/>
      <c r="Y7" s="9"/>
      <c r="Z7" s="8" t="s">
        <v>1374</v>
      </c>
      <c r="AA7" s="9"/>
      <c r="AB7" s="9" t="s">
        <v>2347</v>
      </c>
      <c r="AC7" s="46" t="s">
        <v>2350</v>
      </c>
    </row>
    <row r="8" spans="1:29" ht="33.75" customHeight="1">
      <c r="A8" s="9"/>
      <c r="B8" s="8" t="s">
        <v>420</v>
      </c>
      <c r="C8" s="26">
        <v>214697</v>
      </c>
      <c r="D8" s="26">
        <v>81191</v>
      </c>
      <c r="E8" s="46" t="s">
        <v>2371</v>
      </c>
      <c r="F8" s="26">
        <v>50.600946999999998</v>
      </c>
      <c r="G8" s="26">
        <v>-4.6198519999999998</v>
      </c>
      <c r="H8" s="10" t="s">
        <v>1370</v>
      </c>
      <c r="I8" s="8" t="s">
        <v>1355</v>
      </c>
      <c r="J8" s="9">
        <v>350</v>
      </c>
      <c r="K8" s="11" t="s">
        <v>1369</v>
      </c>
      <c r="L8" s="11"/>
      <c r="M8" s="8"/>
      <c r="N8" s="8"/>
      <c r="O8" s="11"/>
      <c r="P8" s="22">
        <v>0</v>
      </c>
      <c r="Q8" s="12"/>
      <c r="R8" s="11"/>
      <c r="S8" s="8">
        <v>15</v>
      </c>
      <c r="T8" s="12"/>
      <c r="U8" s="11" t="s">
        <v>908</v>
      </c>
      <c r="V8" s="11" t="s">
        <v>594</v>
      </c>
      <c r="W8" s="11"/>
      <c r="X8" s="9"/>
      <c r="Y8" s="9"/>
      <c r="Z8" s="8" t="s">
        <v>1374</v>
      </c>
      <c r="AA8" s="9"/>
      <c r="AB8" s="9" t="s">
        <v>2347</v>
      </c>
      <c r="AC8" s="46" t="s">
        <v>2350</v>
      </c>
    </row>
    <row r="9" spans="1:29" ht="33.75" customHeight="1">
      <c r="A9" s="9"/>
      <c r="B9" s="8" t="s">
        <v>420</v>
      </c>
      <c r="C9" s="26">
        <v>214697</v>
      </c>
      <c r="D9" s="26">
        <v>81191</v>
      </c>
      <c r="E9" s="46" t="s">
        <v>2371</v>
      </c>
      <c r="F9" s="26">
        <v>50.600946999999998</v>
      </c>
      <c r="G9" s="26">
        <v>-4.6198519999999998</v>
      </c>
      <c r="H9" s="10" t="s">
        <v>1370</v>
      </c>
      <c r="I9" s="8" t="s">
        <v>1355</v>
      </c>
      <c r="J9" s="9">
        <v>350</v>
      </c>
      <c r="K9" s="11" t="s">
        <v>1357</v>
      </c>
      <c r="L9" s="11"/>
      <c r="M9" s="8" t="s">
        <v>1359</v>
      </c>
      <c r="N9" s="8">
        <v>0</v>
      </c>
      <c r="O9" s="11">
        <v>5600</v>
      </c>
      <c r="P9" s="22">
        <v>5</v>
      </c>
      <c r="Q9" s="12"/>
      <c r="R9" s="11"/>
      <c r="S9" s="8">
        <v>18</v>
      </c>
      <c r="T9" s="12"/>
      <c r="U9" s="11" t="s">
        <v>857</v>
      </c>
      <c r="V9" s="11" t="s">
        <v>594</v>
      </c>
      <c r="W9" s="11"/>
      <c r="X9" s="9"/>
      <c r="Y9" s="9"/>
      <c r="Z9" s="8" t="s">
        <v>1374</v>
      </c>
      <c r="AA9" s="9"/>
      <c r="AB9" s="9" t="s">
        <v>2347</v>
      </c>
      <c r="AC9" s="46" t="s">
        <v>2350</v>
      </c>
    </row>
    <row r="10" spans="1:29" ht="33.75" customHeight="1">
      <c r="A10" s="9"/>
      <c r="B10" s="8" t="s">
        <v>420</v>
      </c>
      <c r="C10" s="26">
        <v>208000</v>
      </c>
      <c r="D10" s="26">
        <v>61000</v>
      </c>
      <c r="E10" s="46" t="s">
        <v>2371</v>
      </c>
      <c r="F10" s="26">
        <v>50.417406999999997</v>
      </c>
      <c r="G10" s="26">
        <v>-4.7039882000000004</v>
      </c>
      <c r="H10" s="10" t="s">
        <v>1372</v>
      </c>
      <c r="I10" s="8" t="s">
        <v>1360</v>
      </c>
      <c r="J10" s="9">
        <v>200</v>
      </c>
      <c r="K10" s="11"/>
      <c r="L10" s="11"/>
      <c r="M10" s="8" t="s">
        <v>1362</v>
      </c>
      <c r="N10" s="8" t="s">
        <v>1363</v>
      </c>
      <c r="O10" s="11">
        <f>1630-1390</f>
        <v>240</v>
      </c>
      <c r="P10" s="22">
        <v>2</v>
      </c>
      <c r="Q10" s="12"/>
      <c r="R10" s="11"/>
      <c r="S10" s="8">
        <v>15</v>
      </c>
      <c r="T10" s="12"/>
      <c r="U10" s="11" t="s">
        <v>857</v>
      </c>
      <c r="V10" s="11" t="s">
        <v>594</v>
      </c>
      <c r="W10" s="11"/>
      <c r="X10" s="9"/>
      <c r="Y10" s="9"/>
      <c r="Z10" s="8" t="s">
        <v>1374</v>
      </c>
      <c r="AA10" s="9"/>
      <c r="AB10" s="9" t="s">
        <v>2347</v>
      </c>
      <c r="AC10" s="46" t="s">
        <v>2350</v>
      </c>
    </row>
    <row r="11" spans="1:29" ht="33.75" customHeight="1">
      <c r="A11" s="9"/>
      <c r="B11" s="8" t="s">
        <v>420</v>
      </c>
      <c r="C11" s="26">
        <v>223000</v>
      </c>
      <c r="D11" s="26">
        <v>76500</v>
      </c>
      <c r="E11" s="46" t="s">
        <v>2371</v>
      </c>
      <c r="F11" s="26">
        <v>50.56138</v>
      </c>
      <c r="G11" s="26">
        <v>-4.5004112000000003</v>
      </c>
      <c r="H11" s="10" t="s">
        <v>1371</v>
      </c>
      <c r="I11" s="8" t="s">
        <v>1361</v>
      </c>
      <c r="J11" s="9">
        <v>250</v>
      </c>
      <c r="K11" s="11" t="s">
        <v>841</v>
      </c>
      <c r="L11" s="11"/>
      <c r="M11" s="8" t="s">
        <v>1364</v>
      </c>
      <c r="N11" s="8" t="s">
        <v>1365</v>
      </c>
      <c r="O11" s="11">
        <f>2880-990</f>
        <v>1890</v>
      </c>
      <c r="P11" s="22">
        <v>3</v>
      </c>
      <c r="Q11" s="12"/>
      <c r="R11" s="11"/>
      <c r="S11" s="8">
        <v>9</v>
      </c>
      <c r="T11" s="12"/>
      <c r="U11" s="11" t="s">
        <v>857</v>
      </c>
      <c r="V11" s="11" t="s">
        <v>594</v>
      </c>
      <c r="W11" s="11"/>
      <c r="X11" s="9"/>
      <c r="Y11" s="9"/>
      <c r="Z11" s="8" t="s">
        <v>1374</v>
      </c>
      <c r="AA11" s="9"/>
      <c r="AB11" s="9" t="s">
        <v>2347</v>
      </c>
      <c r="AC11" s="46" t="s">
        <v>2350</v>
      </c>
    </row>
    <row r="12" spans="1:29" ht="33.75" customHeight="1">
      <c r="A12" s="9"/>
      <c r="B12" s="8" t="s">
        <v>420</v>
      </c>
      <c r="C12" s="26">
        <v>223000</v>
      </c>
      <c r="D12" s="26">
        <v>76500</v>
      </c>
      <c r="E12" s="46" t="s">
        <v>2371</v>
      </c>
      <c r="F12" s="26">
        <v>50.56138</v>
      </c>
      <c r="G12" s="26">
        <v>-4.5004112000000003</v>
      </c>
      <c r="H12" s="10" t="s">
        <v>1371</v>
      </c>
      <c r="I12" s="8" t="s">
        <v>1361</v>
      </c>
      <c r="J12" s="9">
        <v>250</v>
      </c>
      <c r="K12" s="11" t="s">
        <v>577</v>
      </c>
      <c r="L12" s="11"/>
      <c r="M12" s="8" t="s">
        <v>1366</v>
      </c>
      <c r="N12" s="8" t="s">
        <v>1367</v>
      </c>
      <c r="O12" s="11">
        <f>4080-3360</f>
        <v>720</v>
      </c>
      <c r="P12" s="22">
        <v>2</v>
      </c>
      <c r="Q12" s="12"/>
      <c r="R12" s="11"/>
      <c r="S12" s="8">
        <v>12</v>
      </c>
      <c r="T12" s="12"/>
      <c r="U12" s="11" t="s">
        <v>857</v>
      </c>
      <c r="V12" s="11" t="s">
        <v>594</v>
      </c>
      <c r="W12" s="11"/>
      <c r="X12" s="9"/>
      <c r="Y12" s="9"/>
      <c r="Z12" s="8" t="s">
        <v>1374</v>
      </c>
      <c r="AA12" s="9" t="s">
        <v>1368</v>
      </c>
      <c r="AB12" s="9" t="s">
        <v>2347</v>
      </c>
      <c r="AC12" s="46" t="s">
        <v>2350</v>
      </c>
    </row>
    <row r="13" spans="1:29" ht="33.75" customHeight="1">
      <c r="A13" s="9"/>
      <c r="B13" s="8" t="s">
        <v>1748</v>
      </c>
      <c r="C13" s="9">
        <v>265163</v>
      </c>
      <c r="D13" s="9">
        <v>170755</v>
      </c>
      <c r="E13" s="46" t="s">
        <v>2372</v>
      </c>
      <c r="F13" s="9">
        <v>51.419722</v>
      </c>
      <c r="G13" s="9">
        <v>-3.9405559999999999</v>
      </c>
      <c r="H13" s="9" t="s">
        <v>674</v>
      </c>
      <c r="I13" s="8" t="s">
        <v>670</v>
      </c>
      <c r="J13" s="9">
        <v>-36</v>
      </c>
      <c r="K13" s="11" t="s">
        <v>671</v>
      </c>
      <c r="L13" s="11" t="s">
        <v>2</v>
      </c>
      <c r="M13" s="8"/>
      <c r="N13" s="8"/>
      <c r="O13" s="11"/>
      <c r="P13" s="22">
        <v>0</v>
      </c>
      <c r="Q13" s="12"/>
      <c r="R13" s="11"/>
      <c r="S13" s="8">
        <v>11</v>
      </c>
      <c r="T13" s="12"/>
      <c r="U13" s="11">
        <v>200</v>
      </c>
      <c r="V13" s="11" t="s">
        <v>594</v>
      </c>
      <c r="W13" s="11" t="s">
        <v>673</v>
      </c>
      <c r="X13" s="9"/>
      <c r="Y13" s="9"/>
      <c r="Z13" s="8" t="s">
        <v>672</v>
      </c>
      <c r="AA13" s="9"/>
      <c r="AB13" s="9" t="s">
        <v>2347</v>
      </c>
      <c r="AC13" s="46" t="s">
        <v>2350</v>
      </c>
    </row>
    <row r="14" spans="1:29" ht="33.75" customHeight="1">
      <c r="A14" s="9"/>
      <c r="B14" s="8" t="s">
        <v>503</v>
      </c>
      <c r="C14" s="9">
        <v>379300</v>
      </c>
      <c r="D14" s="9">
        <v>364300</v>
      </c>
      <c r="E14" s="9" t="s">
        <v>550</v>
      </c>
      <c r="F14" s="9">
        <v>53.175400000000003</v>
      </c>
      <c r="G14" s="9">
        <v>-2.3111508000000001</v>
      </c>
      <c r="H14" s="11" t="s">
        <v>522</v>
      </c>
      <c r="I14" s="8" t="s">
        <v>502</v>
      </c>
      <c r="J14" s="9">
        <v>75</v>
      </c>
      <c r="K14" s="11"/>
      <c r="L14" s="11" t="s">
        <v>2</v>
      </c>
      <c r="M14" s="8"/>
      <c r="N14" s="8"/>
      <c r="O14" s="11"/>
      <c r="P14" s="22">
        <v>0</v>
      </c>
      <c r="Q14" s="18"/>
      <c r="R14" s="11" t="s">
        <v>40</v>
      </c>
      <c r="S14" s="8">
        <v>52</v>
      </c>
      <c r="T14" s="12"/>
      <c r="U14" s="11">
        <v>420</v>
      </c>
      <c r="V14" s="11" t="s">
        <v>594</v>
      </c>
      <c r="W14" s="11" t="s">
        <v>639</v>
      </c>
      <c r="X14" s="9"/>
      <c r="Y14" s="9"/>
      <c r="Z14" s="8" t="s">
        <v>506</v>
      </c>
      <c r="AA14" s="9"/>
      <c r="AB14" s="9" t="s">
        <v>2347</v>
      </c>
      <c r="AC14" s="46" t="s">
        <v>2350</v>
      </c>
    </row>
    <row r="15" spans="1:29" ht="33.75" customHeight="1">
      <c r="A15" s="9"/>
      <c r="B15" s="8" t="s">
        <v>503</v>
      </c>
      <c r="C15" s="26">
        <v>369700</v>
      </c>
      <c r="D15" s="26">
        <v>350300</v>
      </c>
      <c r="E15" s="48" t="s">
        <v>2373</v>
      </c>
      <c r="F15" s="26">
        <v>53.049095999999999</v>
      </c>
      <c r="G15" s="26">
        <v>-2.4534467000000002</v>
      </c>
      <c r="H15" s="10" t="s">
        <v>535</v>
      </c>
      <c r="I15" s="8" t="s">
        <v>534</v>
      </c>
      <c r="J15" s="9">
        <v>50</v>
      </c>
      <c r="K15" s="11"/>
      <c r="L15" s="11"/>
      <c r="M15" s="8"/>
      <c r="N15" s="8"/>
      <c r="O15" s="11"/>
      <c r="P15" s="22">
        <v>0</v>
      </c>
      <c r="Q15" s="12"/>
      <c r="R15" s="11" t="s">
        <v>40</v>
      </c>
      <c r="S15" s="8">
        <v>60</v>
      </c>
      <c r="T15" s="12"/>
      <c r="U15" s="11" t="s">
        <v>6</v>
      </c>
      <c r="V15" s="11" t="s">
        <v>594</v>
      </c>
      <c r="W15" s="11" t="s">
        <v>651</v>
      </c>
      <c r="X15" s="9" t="s">
        <v>652</v>
      </c>
      <c r="Y15" s="9"/>
      <c r="Z15" s="8" t="s">
        <v>536</v>
      </c>
      <c r="AA15" s="9"/>
      <c r="AB15" s="9" t="s">
        <v>2347</v>
      </c>
      <c r="AC15" s="46" t="s">
        <v>2350</v>
      </c>
    </row>
    <row r="16" spans="1:29" ht="33.75" customHeight="1">
      <c r="A16" s="9"/>
      <c r="B16" s="8" t="s">
        <v>503</v>
      </c>
      <c r="C16" s="40">
        <v>382500</v>
      </c>
      <c r="D16" s="40">
        <v>381500</v>
      </c>
      <c r="E16" s="46" t="s">
        <v>550</v>
      </c>
      <c r="F16" s="40">
        <v>53.330120999999998</v>
      </c>
      <c r="G16" s="40">
        <v>-2.2642277000000002</v>
      </c>
      <c r="H16" s="10" t="s">
        <v>546</v>
      </c>
      <c r="I16" s="8" t="s">
        <v>543</v>
      </c>
      <c r="J16" s="9">
        <v>60</v>
      </c>
      <c r="K16" s="11"/>
      <c r="L16" s="11" t="s">
        <v>2</v>
      </c>
      <c r="M16" s="8"/>
      <c r="N16" s="8"/>
      <c r="O16" s="11"/>
      <c r="P16" s="22">
        <v>12</v>
      </c>
      <c r="Q16" s="12"/>
      <c r="R16" s="11"/>
      <c r="S16" s="8">
        <v>32</v>
      </c>
      <c r="T16" s="12"/>
      <c r="U16" s="11" t="s">
        <v>834</v>
      </c>
      <c r="V16" s="11" t="s">
        <v>594</v>
      </c>
      <c r="W16" s="11"/>
      <c r="X16" s="9"/>
      <c r="Y16" s="9"/>
      <c r="Z16" s="8" t="s">
        <v>1509</v>
      </c>
      <c r="AA16" s="9" t="s">
        <v>1510</v>
      </c>
      <c r="AB16" s="9" t="s">
        <v>2347</v>
      </c>
      <c r="AC16" s="46" t="s">
        <v>2350</v>
      </c>
    </row>
    <row r="17" spans="1:29" ht="33.75" customHeight="1">
      <c r="A17" s="9"/>
      <c r="B17" s="8" t="s">
        <v>503</v>
      </c>
      <c r="C17" s="40">
        <v>367900</v>
      </c>
      <c r="D17" s="40">
        <v>393300</v>
      </c>
      <c r="E17" s="46" t="s">
        <v>550</v>
      </c>
      <c r="F17" s="40">
        <v>53.435495000000003</v>
      </c>
      <c r="G17" s="40">
        <v>-2.4846461999999998</v>
      </c>
      <c r="H17" s="10" t="s">
        <v>542</v>
      </c>
      <c r="I17" s="8" t="s">
        <v>541</v>
      </c>
      <c r="J17" s="9">
        <v>23</v>
      </c>
      <c r="K17" s="11"/>
      <c r="L17" s="11" t="s">
        <v>2</v>
      </c>
      <c r="M17" s="8"/>
      <c r="N17" s="8"/>
      <c r="O17" s="11"/>
      <c r="P17" s="22">
        <v>0</v>
      </c>
      <c r="Q17" s="12"/>
      <c r="R17" s="11"/>
      <c r="S17" s="8">
        <v>37</v>
      </c>
      <c r="T17" s="12"/>
      <c r="U17" s="11" t="s">
        <v>834</v>
      </c>
      <c r="V17" s="11" t="s">
        <v>594</v>
      </c>
      <c r="W17" s="11"/>
      <c r="X17" s="9"/>
      <c r="Y17" s="9"/>
      <c r="Z17" s="8" t="s">
        <v>1509</v>
      </c>
      <c r="AA17" s="9" t="s">
        <v>1510</v>
      </c>
      <c r="AB17" s="9" t="s">
        <v>2347</v>
      </c>
      <c r="AC17" s="46" t="s">
        <v>2350</v>
      </c>
    </row>
    <row r="18" spans="1:29" ht="33.75" customHeight="1">
      <c r="A18" s="9"/>
      <c r="B18" s="8" t="s">
        <v>503</v>
      </c>
      <c r="C18" s="40">
        <v>390500</v>
      </c>
      <c r="D18" s="40">
        <v>371500</v>
      </c>
      <c r="E18" s="46" t="s">
        <v>2374</v>
      </c>
      <c r="F18" s="40">
        <v>53.240439000000002</v>
      </c>
      <c r="G18" s="40">
        <v>-2.1438041999999999</v>
      </c>
      <c r="H18" s="10" t="s">
        <v>545</v>
      </c>
      <c r="I18" s="8" t="s">
        <v>544</v>
      </c>
      <c r="J18" s="9">
        <v>190</v>
      </c>
      <c r="K18" s="11"/>
      <c r="L18" s="11"/>
      <c r="M18" s="8" t="s">
        <v>1634</v>
      </c>
      <c r="N18" s="8" t="s">
        <v>1633</v>
      </c>
      <c r="O18" s="11">
        <f>6670-3150</f>
        <v>3520</v>
      </c>
      <c r="P18" s="22">
        <v>2</v>
      </c>
      <c r="Q18" s="12"/>
      <c r="R18" s="11"/>
      <c r="S18" s="8">
        <v>8</v>
      </c>
      <c r="T18" s="12"/>
      <c r="U18" s="11"/>
      <c r="V18" s="11" t="s">
        <v>594</v>
      </c>
      <c r="W18" s="11"/>
      <c r="X18" s="9"/>
      <c r="Y18" s="9"/>
      <c r="Z18" s="8" t="s">
        <v>1663</v>
      </c>
      <c r="AA18" s="11" t="s">
        <v>549</v>
      </c>
      <c r="AB18" s="9" t="s">
        <v>2347</v>
      </c>
      <c r="AC18" s="46" t="s">
        <v>2350</v>
      </c>
    </row>
    <row r="19" spans="1:29" ht="33.75" customHeight="1">
      <c r="A19" s="9"/>
      <c r="B19" s="8" t="s">
        <v>503</v>
      </c>
      <c r="C19" s="40">
        <v>387400</v>
      </c>
      <c r="D19" s="40">
        <v>361400</v>
      </c>
      <c r="E19" s="46" t="s">
        <v>2374</v>
      </c>
      <c r="F19" s="40">
        <v>53.149586999999997</v>
      </c>
      <c r="G19" s="40">
        <v>-2.1898515999999999</v>
      </c>
      <c r="H19" s="10" t="s">
        <v>548</v>
      </c>
      <c r="I19" s="8" t="s">
        <v>547</v>
      </c>
      <c r="J19" s="9">
        <v>130</v>
      </c>
      <c r="K19" s="11"/>
      <c r="L19" s="11" t="s">
        <v>1637</v>
      </c>
      <c r="M19" s="8" t="s">
        <v>1636</v>
      </c>
      <c r="N19" s="8" t="s">
        <v>1635</v>
      </c>
      <c r="O19" s="11">
        <f>9450-5940</f>
        <v>3510</v>
      </c>
      <c r="P19" s="22">
        <v>5</v>
      </c>
      <c r="Q19" s="12"/>
      <c r="R19" s="11"/>
      <c r="S19" s="8">
        <v>60</v>
      </c>
      <c r="T19" s="12"/>
      <c r="U19" s="11"/>
      <c r="V19" s="11" t="s">
        <v>594</v>
      </c>
      <c r="W19" s="11"/>
      <c r="X19" s="9"/>
      <c r="Y19" s="9"/>
      <c r="Z19" s="8" t="s">
        <v>1663</v>
      </c>
      <c r="AA19" s="9"/>
      <c r="AB19" s="9" t="s">
        <v>2347</v>
      </c>
      <c r="AC19" s="46" t="s">
        <v>2350</v>
      </c>
    </row>
    <row r="20" spans="1:29" ht="33.75" customHeight="1">
      <c r="A20" s="9"/>
      <c r="B20" s="8" t="s">
        <v>503</v>
      </c>
      <c r="C20" s="40">
        <v>371500</v>
      </c>
      <c r="D20" s="40">
        <v>374500</v>
      </c>
      <c r="E20" s="46" t="s">
        <v>2374</v>
      </c>
      <c r="F20" s="40">
        <v>53.266720999999997</v>
      </c>
      <c r="G20" s="40">
        <v>-2.4287595999999998</v>
      </c>
      <c r="H20" s="10" t="s">
        <v>552</v>
      </c>
      <c r="I20" s="8" t="s">
        <v>551</v>
      </c>
      <c r="J20" s="9">
        <v>20</v>
      </c>
      <c r="K20" s="11"/>
      <c r="L20" s="11"/>
      <c r="M20" s="8"/>
      <c r="N20" s="8"/>
      <c r="O20" s="11"/>
      <c r="P20" s="22">
        <v>0</v>
      </c>
      <c r="Q20" s="12"/>
      <c r="R20" s="11"/>
      <c r="S20" s="8">
        <v>1</v>
      </c>
      <c r="T20" s="12"/>
      <c r="U20" s="11"/>
      <c r="V20" s="11"/>
      <c r="W20" s="11"/>
      <c r="X20" s="9"/>
      <c r="Y20" s="9"/>
      <c r="Z20" s="8" t="s">
        <v>1663</v>
      </c>
      <c r="AA20" s="9"/>
      <c r="AB20" s="9" t="s">
        <v>2347</v>
      </c>
      <c r="AC20" s="46" t="s">
        <v>2350</v>
      </c>
    </row>
    <row r="21" spans="1:29" ht="33.75" customHeight="1">
      <c r="A21" s="9"/>
      <c r="B21" s="8" t="s">
        <v>503</v>
      </c>
      <c r="C21" s="40">
        <v>378300</v>
      </c>
      <c r="D21" s="40">
        <v>373100</v>
      </c>
      <c r="E21" s="46" t="s">
        <v>2374</v>
      </c>
      <c r="F21" s="40">
        <v>53.254460000000002</v>
      </c>
      <c r="G21" s="40">
        <v>-2.3267134</v>
      </c>
      <c r="H21" s="10" t="s">
        <v>554</v>
      </c>
      <c r="I21" s="8" t="s">
        <v>553</v>
      </c>
      <c r="J21" s="9">
        <v>40</v>
      </c>
      <c r="K21" s="11"/>
      <c r="L21" s="11"/>
      <c r="M21" s="8"/>
      <c r="N21" s="8"/>
      <c r="O21" s="11"/>
      <c r="P21" s="22">
        <v>0</v>
      </c>
      <c r="Q21" s="12"/>
      <c r="R21" s="11"/>
      <c r="S21" s="8">
        <v>2</v>
      </c>
      <c r="T21" s="12"/>
      <c r="U21" s="11"/>
      <c r="V21" s="11"/>
      <c r="W21" s="11"/>
      <c r="X21" s="9"/>
      <c r="Y21" s="9"/>
      <c r="Z21" s="8" t="s">
        <v>1663</v>
      </c>
      <c r="AA21" s="9"/>
      <c r="AB21" s="9" t="s">
        <v>2347</v>
      </c>
      <c r="AC21" s="46" t="s">
        <v>2350</v>
      </c>
    </row>
    <row r="22" spans="1:29" ht="33.75" customHeight="1">
      <c r="A22" s="9"/>
      <c r="B22" s="8" t="s">
        <v>503</v>
      </c>
      <c r="C22" s="40">
        <v>354700</v>
      </c>
      <c r="D22" s="40">
        <v>358000</v>
      </c>
      <c r="E22" s="46" t="s">
        <v>2374</v>
      </c>
      <c r="F22" s="40">
        <v>53.117243000000002</v>
      </c>
      <c r="G22" s="40">
        <v>-2.6782802999999999</v>
      </c>
      <c r="H22" s="10" t="s">
        <v>556</v>
      </c>
      <c r="I22" s="8" t="s">
        <v>555</v>
      </c>
      <c r="J22" s="9">
        <v>25</v>
      </c>
      <c r="K22" s="11">
        <v>1</v>
      </c>
      <c r="L22" s="11"/>
      <c r="M22" s="8"/>
      <c r="N22" s="8"/>
      <c r="O22" s="11"/>
      <c r="P22" s="22"/>
      <c r="Q22" s="12"/>
      <c r="R22" s="11"/>
      <c r="S22" s="8">
        <v>4</v>
      </c>
      <c r="T22" s="12"/>
      <c r="U22" s="11"/>
      <c r="V22" s="11"/>
      <c r="W22" s="11"/>
      <c r="X22" s="9"/>
      <c r="Y22" s="9"/>
      <c r="Z22" s="8" t="s">
        <v>1663</v>
      </c>
      <c r="AA22" s="9"/>
      <c r="AB22" s="9" t="s">
        <v>2347</v>
      </c>
      <c r="AC22" s="46" t="s">
        <v>2350</v>
      </c>
    </row>
    <row r="23" spans="1:29" ht="33.75" customHeight="1">
      <c r="A23" s="9"/>
      <c r="B23" s="8" t="s">
        <v>503</v>
      </c>
      <c r="C23" s="40">
        <v>355000</v>
      </c>
      <c r="D23" s="40">
        <v>372200</v>
      </c>
      <c r="E23" s="46" t="s">
        <v>2374</v>
      </c>
      <c r="F23" s="40">
        <v>53.244902000000003</v>
      </c>
      <c r="G23" s="40">
        <v>-2.6758023</v>
      </c>
      <c r="H23" s="10" t="s">
        <v>558</v>
      </c>
      <c r="I23" s="8" t="s">
        <v>557</v>
      </c>
      <c r="J23" s="9">
        <v>80</v>
      </c>
      <c r="K23" s="11"/>
      <c r="L23" s="11"/>
      <c r="M23" s="8"/>
      <c r="N23" s="8"/>
      <c r="O23" s="11"/>
      <c r="P23" s="22">
        <v>0</v>
      </c>
      <c r="Q23" s="12"/>
      <c r="R23" s="11"/>
      <c r="S23" s="8">
        <v>3</v>
      </c>
      <c r="T23" s="12"/>
      <c r="U23" s="11"/>
      <c r="V23" s="11"/>
      <c r="W23" s="11"/>
      <c r="X23" s="9"/>
      <c r="Y23" s="9"/>
      <c r="Z23" s="8" t="s">
        <v>1663</v>
      </c>
      <c r="AA23" s="9"/>
      <c r="AB23" s="9" t="s">
        <v>2347</v>
      </c>
      <c r="AC23" s="46" t="s">
        <v>2350</v>
      </c>
    </row>
    <row r="24" spans="1:29" s="3" customFormat="1" ht="33.75" customHeight="1">
      <c r="A24" s="9"/>
      <c r="B24" s="8" t="s">
        <v>503</v>
      </c>
      <c r="C24" s="40">
        <v>358400</v>
      </c>
      <c r="D24" s="40">
        <v>369600</v>
      </c>
      <c r="E24" s="46" t="s">
        <v>2374</v>
      </c>
      <c r="F24" s="40">
        <v>53.221809999999998</v>
      </c>
      <c r="G24" s="40">
        <v>-2.6245151</v>
      </c>
      <c r="H24" s="10" t="s">
        <v>560</v>
      </c>
      <c r="I24" s="8" t="s">
        <v>559</v>
      </c>
      <c r="J24" s="9">
        <v>80</v>
      </c>
      <c r="K24" s="11"/>
      <c r="L24" s="11"/>
      <c r="M24" s="8"/>
      <c r="N24" s="8"/>
      <c r="O24" s="11"/>
      <c r="P24" s="22">
        <v>0</v>
      </c>
      <c r="Q24" s="12"/>
      <c r="R24" s="11"/>
      <c r="S24" s="8">
        <v>4</v>
      </c>
      <c r="T24" s="12"/>
      <c r="U24" s="11"/>
      <c r="V24" s="11"/>
      <c r="W24" s="11"/>
      <c r="X24" s="9"/>
      <c r="Y24" s="9"/>
      <c r="Z24" s="8" t="s">
        <v>1663</v>
      </c>
      <c r="AA24" s="9"/>
      <c r="AB24" s="9" t="s">
        <v>2347</v>
      </c>
      <c r="AC24" s="46" t="s">
        <v>2350</v>
      </c>
    </row>
    <row r="25" spans="1:29" s="3" customFormat="1" ht="33.75" customHeight="1">
      <c r="A25" s="9"/>
      <c r="B25" s="8" t="s">
        <v>503</v>
      </c>
      <c r="C25" s="40">
        <v>375400</v>
      </c>
      <c r="D25" s="40">
        <v>352550</v>
      </c>
      <c r="E25" s="46" t="s">
        <v>2374</v>
      </c>
      <c r="F25" s="40">
        <v>53.069614999999999</v>
      </c>
      <c r="G25" s="40">
        <v>-2.3685925999999999</v>
      </c>
      <c r="H25" s="10" t="s">
        <v>562</v>
      </c>
      <c r="I25" s="8" t="s">
        <v>561</v>
      </c>
      <c r="J25" s="9">
        <v>70</v>
      </c>
      <c r="K25" s="11"/>
      <c r="L25" s="11"/>
      <c r="M25" s="8"/>
      <c r="N25" s="8"/>
      <c r="O25" s="11"/>
      <c r="P25" s="22">
        <v>0</v>
      </c>
      <c r="Q25" s="12"/>
      <c r="R25" s="11"/>
      <c r="S25" s="8">
        <v>8</v>
      </c>
      <c r="T25" s="12"/>
      <c r="U25" s="11"/>
      <c r="V25" s="11"/>
      <c r="W25" s="11"/>
      <c r="X25" s="9"/>
      <c r="Y25" s="9"/>
      <c r="Z25" s="8" t="s">
        <v>1663</v>
      </c>
      <c r="AA25" s="9"/>
      <c r="AB25" s="9" t="s">
        <v>2347</v>
      </c>
      <c r="AC25" s="46" t="s">
        <v>2350</v>
      </c>
    </row>
    <row r="26" spans="1:29" s="3" customFormat="1" ht="33.75" customHeight="1">
      <c r="A26" s="9"/>
      <c r="B26" s="8" t="s">
        <v>503</v>
      </c>
      <c r="C26" s="40">
        <v>328500</v>
      </c>
      <c r="D26" s="40">
        <v>391500</v>
      </c>
      <c r="E26" s="46" t="s">
        <v>2376</v>
      </c>
      <c r="F26" s="40">
        <v>53.415438999999999</v>
      </c>
      <c r="G26" s="40">
        <v>-3.0772154999999999</v>
      </c>
      <c r="H26" s="10" t="s">
        <v>564</v>
      </c>
      <c r="I26" s="8" t="s">
        <v>563</v>
      </c>
      <c r="J26" s="9">
        <v>5</v>
      </c>
      <c r="K26" s="11">
        <v>2</v>
      </c>
      <c r="L26" s="11"/>
      <c r="M26" s="8" t="s">
        <v>1661</v>
      </c>
      <c r="N26" s="8" t="s">
        <v>1660</v>
      </c>
      <c r="O26" s="11">
        <f>7360-4740</f>
        <v>2620</v>
      </c>
      <c r="P26" s="22">
        <v>3</v>
      </c>
      <c r="Q26" s="12"/>
      <c r="R26" s="11"/>
      <c r="S26" s="8">
        <v>43</v>
      </c>
      <c r="T26" s="12"/>
      <c r="U26" s="11"/>
      <c r="V26" s="11"/>
      <c r="W26" s="11"/>
      <c r="X26" s="9"/>
      <c r="Y26" s="9"/>
      <c r="Z26" s="8" t="s">
        <v>1662</v>
      </c>
      <c r="AA26" s="11" t="s">
        <v>565</v>
      </c>
      <c r="AB26" s="9" t="s">
        <v>2347</v>
      </c>
      <c r="AC26" s="46" t="s">
        <v>2350</v>
      </c>
    </row>
    <row r="27" spans="1:29" s="3" customFormat="1" ht="33.75" customHeight="1">
      <c r="A27" s="9">
        <v>87</v>
      </c>
      <c r="B27" s="8" t="s">
        <v>420</v>
      </c>
      <c r="C27" s="9">
        <v>151300</v>
      </c>
      <c r="D27" s="9">
        <v>31600</v>
      </c>
      <c r="E27" s="46" t="s">
        <v>2375</v>
      </c>
      <c r="F27" s="9">
        <v>50.132224999999998</v>
      </c>
      <c r="G27" s="9">
        <v>-5.4813896</v>
      </c>
      <c r="H27" s="10" t="s">
        <v>419</v>
      </c>
      <c r="I27" s="8" t="s">
        <v>416</v>
      </c>
      <c r="J27" s="9">
        <v>5</v>
      </c>
      <c r="K27" s="11" t="s">
        <v>418</v>
      </c>
      <c r="L27" s="11" t="s">
        <v>417</v>
      </c>
      <c r="M27" s="8">
        <v>5420</v>
      </c>
      <c r="N27" s="8">
        <v>1210</v>
      </c>
      <c r="O27" s="11">
        <f>M27-N27</f>
        <v>4210</v>
      </c>
      <c r="P27" s="22">
        <v>6</v>
      </c>
      <c r="Q27" s="12">
        <f>P27/O27*1000</f>
        <v>1.4251781472684086</v>
      </c>
      <c r="R27" s="11" t="s">
        <v>40</v>
      </c>
      <c r="S27" s="8">
        <v>25</v>
      </c>
      <c r="T27" s="12">
        <f>S27/(O27/1000)</f>
        <v>5.9382422802850359</v>
      </c>
      <c r="U27" s="11"/>
      <c r="V27" s="11"/>
      <c r="W27" s="11" t="s">
        <v>421</v>
      </c>
      <c r="X27" s="9" t="s">
        <v>415</v>
      </c>
      <c r="Y27" s="9" t="s">
        <v>100</v>
      </c>
      <c r="Z27" s="8" t="s">
        <v>422</v>
      </c>
      <c r="AA27" s="9"/>
      <c r="AB27" s="9" t="s">
        <v>2347</v>
      </c>
      <c r="AC27" s="46" t="s">
        <v>2350</v>
      </c>
    </row>
    <row r="28" spans="1:29" s="3" customFormat="1" ht="33.75" customHeight="1">
      <c r="A28" s="9"/>
      <c r="B28" s="8" t="s">
        <v>420</v>
      </c>
      <c r="C28" s="9">
        <v>219500</v>
      </c>
      <c r="D28" s="9">
        <v>70800</v>
      </c>
      <c r="E28" s="46" t="s">
        <v>2372</v>
      </c>
      <c r="F28" s="9">
        <v>50.509099999999997</v>
      </c>
      <c r="G28" s="9">
        <v>-4.5470148999999997</v>
      </c>
      <c r="H28" s="10" t="s">
        <v>677</v>
      </c>
      <c r="I28" s="8" t="s">
        <v>675</v>
      </c>
      <c r="J28" s="9">
        <v>229</v>
      </c>
      <c r="K28" s="11"/>
      <c r="L28" s="11" t="s">
        <v>2</v>
      </c>
      <c r="M28" s="8"/>
      <c r="N28" s="8"/>
      <c r="O28" s="11"/>
      <c r="P28" s="22">
        <v>0</v>
      </c>
      <c r="Q28" s="12"/>
      <c r="R28" s="11" t="s">
        <v>68</v>
      </c>
      <c r="S28" s="8">
        <v>52</v>
      </c>
      <c r="T28" s="12"/>
      <c r="U28" s="11"/>
      <c r="V28" s="11" t="s">
        <v>676</v>
      </c>
      <c r="W28" s="11" t="s">
        <v>686</v>
      </c>
      <c r="X28" s="9"/>
      <c r="Y28" s="9"/>
      <c r="Z28" s="8" t="s">
        <v>685</v>
      </c>
      <c r="AA28" s="9"/>
      <c r="AB28" s="9" t="s">
        <v>2347</v>
      </c>
      <c r="AC28" s="46" t="s">
        <v>2350</v>
      </c>
    </row>
    <row r="29" spans="1:29" s="3" customFormat="1" ht="33.75" customHeight="1">
      <c r="A29" s="9"/>
      <c r="B29" s="8" t="s">
        <v>420</v>
      </c>
      <c r="C29" s="9">
        <v>219500</v>
      </c>
      <c r="D29" s="9">
        <v>70800</v>
      </c>
      <c r="E29" s="46" t="s">
        <v>2377</v>
      </c>
      <c r="F29" s="9">
        <v>50.509099999999997</v>
      </c>
      <c r="G29" s="9">
        <v>-4.5470148999999997</v>
      </c>
      <c r="H29" s="10" t="s">
        <v>677</v>
      </c>
      <c r="I29" s="8" t="s">
        <v>675</v>
      </c>
      <c r="J29" s="9">
        <v>229</v>
      </c>
      <c r="K29" s="11"/>
      <c r="L29" s="11" t="s">
        <v>2</v>
      </c>
      <c r="M29" s="8"/>
      <c r="N29" s="8"/>
      <c r="O29" s="11"/>
      <c r="P29" s="22">
        <v>0</v>
      </c>
      <c r="Q29" s="12"/>
      <c r="R29" s="11"/>
      <c r="S29" s="8">
        <v>20</v>
      </c>
      <c r="T29" s="12"/>
      <c r="U29" s="11" t="s">
        <v>6</v>
      </c>
      <c r="V29" s="11" t="s">
        <v>593</v>
      </c>
      <c r="W29" s="11"/>
      <c r="X29" s="9"/>
      <c r="Y29" s="9"/>
      <c r="Z29" s="8" t="s">
        <v>712</v>
      </c>
      <c r="AA29" s="9"/>
      <c r="AB29" s="9" t="s">
        <v>2347</v>
      </c>
      <c r="AC29" s="46" t="s">
        <v>2350</v>
      </c>
    </row>
    <row r="30" spans="1:29" s="3" customFormat="1" ht="33.75" customHeight="1">
      <c r="A30" s="9"/>
      <c r="B30" s="8" t="s">
        <v>420</v>
      </c>
      <c r="C30" s="9">
        <v>215200</v>
      </c>
      <c r="D30" s="9">
        <v>74700</v>
      </c>
      <c r="E30" s="46" t="s">
        <v>2372</v>
      </c>
      <c r="F30" s="9">
        <v>50.542794000000001</v>
      </c>
      <c r="G30" s="9">
        <v>-4.6095262999999997</v>
      </c>
      <c r="H30" s="10" t="s">
        <v>679</v>
      </c>
      <c r="I30" s="8" t="s">
        <v>678</v>
      </c>
      <c r="J30" s="9">
        <v>229</v>
      </c>
      <c r="K30" s="11" t="s">
        <v>681</v>
      </c>
      <c r="L30" s="11" t="s">
        <v>2</v>
      </c>
      <c r="M30" s="8"/>
      <c r="N30" s="8"/>
      <c r="O30" s="11"/>
      <c r="P30" s="22">
        <v>0</v>
      </c>
      <c r="Q30" s="12"/>
      <c r="R30" s="11"/>
      <c r="S30" s="8">
        <v>75</v>
      </c>
      <c r="T30" s="12"/>
      <c r="U30" s="11"/>
      <c r="V30" s="11" t="s">
        <v>676</v>
      </c>
      <c r="W30" s="11" t="s">
        <v>686</v>
      </c>
      <c r="X30" s="9"/>
      <c r="Y30" s="9"/>
      <c r="Z30" s="8" t="s">
        <v>685</v>
      </c>
      <c r="AA30" s="9"/>
      <c r="AB30" s="9" t="s">
        <v>2347</v>
      </c>
      <c r="AC30" s="46" t="s">
        <v>2350</v>
      </c>
    </row>
    <row r="31" spans="1:29" s="3" customFormat="1" ht="33.75" customHeight="1">
      <c r="A31" s="9"/>
      <c r="B31" s="8" t="s">
        <v>420</v>
      </c>
      <c r="C31" s="9">
        <v>215200</v>
      </c>
      <c r="D31" s="9">
        <v>74700</v>
      </c>
      <c r="E31" s="46" t="s">
        <v>2372</v>
      </c>
      <c r="F31" s="9">
        <v>50.542794000000001</v>
      </c>
      <c r="G31" s="9">
        <v>-4.6095262999999997</v>
      </c>
      <c r="H31" s="10" t="s">
        <v>683</v>
      </c>
      <c r="I31" s="8" t="s">
        <v>678</v>
      </c>
      <c r="J31" s="9">
        <v>229</v>
      </c>
      <c r="K31" s="11" t="s">
        <v>682</v>
      </c>
      <c r="L31" s="11" t="s">
        <v>2</v>
      </c>
      <c r="M31" s="8" t="s">
        <v>759</v>
      </c>
      <c r="N31" s="8" t="s">
        <v>758</v>
      </c>
      <c r="O31" s="11">
        <f>11069-9061</f>
        <v>2008</v>
      </c>
      <c r="P31" s="22">
        <v>6</v>
      </c>
      <c r="Q31" s="12">
        <f>P31/O31*1000</f>
        <v>2.9880478087649402</v>
      </c>
      <c r="R31" s="11"/>
      <c r="S31" s="8">
        <v>82</v>
      </c>
      <c r="T31" s="12">
        <f>S31/(O31/1000)</f>
        <v>40.836653386454181</v>
      </c>
      <c r="U31" s="11"/>
      <c r="V31" s="11" t="s">
        <v>676</v>
      </c>
      <c r="W31" s="11" t="s">
        <v>686</v>
      </c>
      <c r="X31" s="9"/>
      <c r="Y31" s="9"/>
      <c r="Z31" s="8" t="s">
        <v>685</v>
      </c>
      <c r="AA31" s="9"/>
      <c r="AB31" s="9" t="s">
        <v>2347</v>
      </c>
      <c r="AC31" s="46" t="s">
        <v>2350</v>
      </c>
    </row>
    <row r="32" spans="1:29" ht="33.75" customHeight="1">
      <c r="A32" s="9"/>
      <c r="B32" s="8" t="s">
        <v>420</v>
      </c>
      <c r="C32" s="9">
        <v>215200</v>
      </c>
      <c r="D32" s="9">
        <v>74700</v>
      </c>
      <c r="E32" s="46" t="s">
        <v>2372</v>
      </c>
      <c r="F32" s="9">
        <v>50.542794000000001</v>
      </c>
      <c r="G32" s="9">
        <v>-4.6095262999999997</v>
      </c>
      <c r="H32" s="10" t="s">
        <v>684</v>
      </c>
      <c r="I32" s="8" t="s">
        <v>678</v>
      </c>
      <c r="J32" s="9">
        <v>229</v>
      </c>
      <c r="K32" s="11" t="s">
        <v>680</v>
      </c>
      <c r="L32" s="11" t="s">
        <v>2</v>
      </c>
      <c r="M32" s="8" t="s">
        <v>760</v>
      </c>
      <c r="N32" s="8" t="s">
        <v>761</v>
      </c>
      <c r="O32" s="11">
        <f>13088-11553</f>
        <v>1535</v>
      </c>
      <c r="P32" s="22">
        <v>5</v>
      </c>
      <c r="Q32" s="12">
        <f>P32/O32*1000</f>
        <v>3.2573289902280131</v>
      </c>
      <c r="R32" s="11"/>
      <c r="S32" s="8">
        <v>34</v>
      </c>
      <c r="T32" s="12">
        <f>S32/(O32/1000)</f>
        <v>22.149837133550491</v>
      </c>
      <c r="U32" s="11"/>
      <c r="V32" s="11" t="s">
        <v>594</v>
      </c>
      <c r="W32" s="11" t="s">
        <v>686</v>
      </c>
      <c r="X32" s="9"/>
      <c r="Y32" s="9"/>
      <c r="Z32" s="8" t="s">
        <v>685</v>
      </c>
      <c r="AA32" s="9"/>
      <c r="AB32" s="9" t="s">
        <v>2347</v>
      </c>
      <c r="AC32" s="46" t="s">
        <v>2350</v>
      </c>
    </row>
    <row r="33" spans="1:29" ht="33.75" customHeight="1">
      <c r="A33" s="9"/>
      <c r="B33" s="8" t="s">
        <v>420</v>
      </c>
      <c r="C33" s="9">
        <v>215200</v>
      </c>
      <c r="D33" s="9">
        <v>74700</v>
      </c>
      <c r="E33" s="46" t="s">
        <v>2372</v>
      </c>
      <c r="F33" s="9">
        <v>50.542794000000001</v>
      </c>
      <c r="G33" s="9">
        <v>-4.6095262999999997</v>
      </c>
      <c r="H33" s="10" t="s">
        <v>688</v>
      </c>
      <c r="I33" s="8" t="s">
        <v>678</v>
      </c>
      <c r="J33" s="9">
        <v>229</v>
      </c>
      <c r="K33" s="11" t="s">
        <v>687</v>
      </c>
      <c r="L33" s="11" t="s">
        <v>2</v>
      </c>
      <c r="M33" s="8"/>
      <c r="N33" s="8"/>
      <c r="O33" s="11"/>
      <c r="P33" s="22">
        <v>0</v>
      </c>
      <c r="Q33" s="12"/>
      <c r="R33" s="11"/>
      <c r="S33" s="8">
        <v>16</v>
      </c>
      <c r="T33" s="12"/>
      <c r="U33" s="11"/>
      <c r="V33" s="11" t="s">
        <v>594</v>
      </c>
      <c r="W33" s="11" t="s">
        <v>686</v>
      </c>
      <c r="X33" s="9"/>
      <c r="Y33" s="9"/>
      <c r="Z33" s="8" t="s">
        <v>685</v>
      </c>
      <c r="AA33" s="9"/>
      <c r="AB33" s="9" t="s">
        <v>2347</v>
      </c>
      <c r="AC33" s="46" t="s">
        <v>2350</v>
      </c>
    </row>
    <row r="34" spans="1:29" ht="33.75" customHeight="1">
      <c r="A34" s="9"/>
      <c r="B34" s="8" t="s">
        <v>420</v>
      </c>
      <c r="C34" s="9">
        <v>215200</v>
      </c>
      <c r="D34" s="9">
        <v>74700</v>
      </c>
      <c r="E34" s="46" t="s">
        <v>2377</v>
      </c>
      <c r="F34" s="9">
        <v>50.542794000000001</v>
      </c>
      <c r="G34" s="9">
        <v>-4.6095262999999997</v>
      </c>
      <c r="H34" s="10" t="s">
        <v>718</v>
      </c>
      <c r="I34" s="8" t="s">
        <v>678</v>
      </c>
      <c r="J34" s="9">
        <v>229</v>
      </c>
      <c r="K34" s="11"/>
      <c r="L34" s="11" t="s">
        <v>694</v>
      </c>
      <c r="M34" s="8"/>
      <c r="N34" s="8"/>
      <c r="O34" s="11"/>
      <c r="P34" s="22">
        <v>0</v>
      </c>
      <c r="Q34" s="12"/>
      <c r="R34" s="11"/>
      <c r="S34" s="8">
        <v>24</v>
      </c>
      <c r="T34" s="12"/>
      <c r="U34" s="11" t="s">
        <v>719</v>
      </c>
      <c r="V34" s="11"/>
      <c r="W34" s="11"/>
      <c r="X34" s="9"/>
      <c r="Y34" s="9"/>
      <c r="Z34" s="8" t="s">
        <v>712</v>
      </c>
      <c r="AA34" s="9"/>
      <c r="AB34" s="9" t="s">
        <v>2347</v>
      </c>
      <c r="AC34" s="46" t="s">
        <v>2350</v>
      </c>
    </row>
    <row r="35" spans="1:29" ht="33.75" customHeight="1">
      <c r="A35" s="9"/>
      <c r="B35" s="8" t="s">
        <v>420</v>
      </c>
      <c r="C35" s="9">
        <v>219200</v>
      </c>
      <c r="D35" s="9">
        <v>74400</v>
      </c>
      <c r="E35" s="46" t="s">
        <v>2372</v>
      </c>
      <c r="F35" s="9">
        <v>50.541350000000001</v>
      </c>
      <c r="G35" s="9">
        <v>-4.5529871999999996</v>
      </c>
      <c r="H35" s="10" t="s">
        <v>690</v>
      </c>
      <c r="I35" s="8" t="s">
        <v>689</v>
      </c>
      <c r="J35" s="9">
        <v>265</v>
      </c>
      <c r="K35" s="11" t="s">
        <v>691</v>
      </c>
      <c r="L35" s="11" t="s">
        <v>2</v>
      </c>
      <c r="M35" s="8" t="s">
        <v>762</v>
      </c>
      <c r="N35" s="8" t="s">
        <v>763</v>
      </c>
      <c r="O35" s="11">
        <f>9053-6451</f>
        <v>2602</v>
      </c>
      <c r="P35" s="22">
        <v>5</v>
      </c>
      <c r="Q35" s="12">
        <f>P35/O35*1000</f>
        <v>1.9215987701767869</v>
      </c>
      <c r="R35" s="11"/>
      <c r="S35" s="8">
        <v>25</v>
      </c>
      <c r="T35" s="12">
        <f>S35/(O35/1000)</f>
        <v>9.6079938508839362</v>
      </c>
      <c r="U35" s="11"/>
      <c r="V35" s="11" t="s">
        <v>594</v>
      </c>
      <c r="W35" s="11" t="s">
        <v>686</v>
      </c>
      <c r="X35" s="9"/>
      <c r="Y35" s="9"/>
      <c r="Z35" s="8" t="s">
        <v>685</v>
      </c>
      <c r="AA35" s="9"/>
      <c r="AB35" s="9" t="s">
        <v>2347</v>
      </c>
      <c r="AC35" s="46" t="s">
        <v>2350</v>
      </c>
    </row>
    <row r="36" spans="1:29" s="30" customFormat="1" ht="33.75" customHeight="1">
      <c r="A36" s="9"/>
      <c r="B36" s="8" t="s">
        <v>420</v>
      </c>
      <c r="C36" s="9">
        <v>219397</v>
      </c>
      <c r="D36" s="9">
        <v>74443</v>
      </c>
      <c r="E36" s="46" t="s">
        <v>2377</v>
      </c>
      <c r="F36" s="9">
        <v>50.541798999999997</v>
      </c>
      <c r="G36" s="9">
        <v>-4.5502281</v>
      </c>
      <c r="H36" s="9" t="s">
        <v>714</v>
      </c>
      <c r="I36" s="8" t="s">
        <v>713</v>
      </c>
      <c r="J36" s="9">
        <v>230</v>
      </c>
      <c r="K36" s="11"/>
      <c r="L36" s="11" t="s">
        <v>2</v>
      </c>
      <c r="M36" s="8"/>
      <c r="N36" s="8"/>
      <c r="O36" s="11"/>
      <c r="P36" s="22">
        <v>0</v>
      </c>
      <c r="Q36" s="12"/>
      <c r="R36" s="11"/>
      <c r="S36" s="8">
        <v>17</v>
      </c>
      <c r="T36" s="12"/>
      <c r="U36" s="11" t="s">
        <v>6</v>
      </c>
      <c r="V36" s="11" t="s">
        <v>593</v>
      </c>
      <c r="W36" s="11"/>
      <c r="X36" s="9"/>
      <c r="Y36" s="9"/>
      <c r="Z36" s="8" t="s">
        <v>712</v>
      </c>
      <c r="AA36" s="9"/>
      <c r="AB36" s="9" t="s">
        <v>2347</v>
      </c>
      <c r="AC36" s="46" t="s">
        <v>2350</v>
      </c>
    </row>
    <row r="37" spans="1:29" ht="33.75" customHeight="1">
      <c r="A37" s="11"/>
      <c r="B37" s="8" t="s">
        <v>420</v>
      </c>
      <c r="C37" s="9">
        <v>212990</v>
      </c>
      <c r="D37" s="9">
        <v>80360</v>
      </c>
      <c r="E37" s="46" t="s">
        <v>2377</v>
      </c>
      <c r="F37" s="9">
        <v>50.592936000000002</v>
      </c>
      <c r="G37" s="9">
        <v>-4.6435260999999999</v>
      </c>
      <c r="H37" s="9" t="s">
        <v>716</v>
      </c>
      <c r="I37" s="8" t="s">
        <v>715</v>
      </c>
      <c r="J37" s="9">
        <v>250</v>
      </c>
      <c r="K37" s="11"/>
      <c r="L37" s="11" t="s">
        <v>2</v>
      </c>
      <c r="M37" s="8"/>
      <c r="N37" s="8"/>
      <c r="O37" s="11"/>
      <c r="P37" s="22">
        <v>0</v>
      </c>
      <c r="Q37" s="12"/>
      <c r="R37" s="11"/>
      <c r="S37" s="8">
        <v>16</v>
      </c>
      <c r="T37" s="12"/>
      <c r="U37" s="11" t="s">
        <v>717</v>
      </c>
      <c r="V37" s="11" t="s">
        <v>593</v>
      </c>
      <c r="W37" s="11"/>
      <c r="X37" s="9"/>
      <c r="Y37" s="9"/>
      <c r="Z37" s="8" t="s">
        <v>712</v>
      </c>
      <c r="AA37" s="9"/>
      <c r="AB37" s="9" t="s">
        <v>2347</v>
      </c>
      <c r="AC37" s="46" t="s">
        <v>2350</v>
      </c>
    </row>
    <row r="38" spans="1:29" ht="33.75" customHeight="1">
      <c r="A38" s="11">
        <v>7</v>
      </c>
      <c r="B38" s="8" t="s">
        <v>10</v>
      </c>
      <c r="C38" s="9">
        <v>260420</v>
      </c>
      <c r="D38" s="9">
        <v>83250</v>
      </c>
      <c r="E38" s="46" t="s">
        <v>2378</v>
      </c>
      <c r="F38" s="9">
        <v>50.627575999999998</v>
      </c>
      <c r="G38" s="9">
        <v>-3.9818737999999998</v>
      </c>
      <c r="H38" s="10" t="s">
        <v>52</v>
      </c>
      <c r="I38" s="8" t="s">
        <v>53</v>
      </c>
      <c r="J38" s="9">
        <v>603</v>
      </c>
      <c r="K38" s="11">
        <v>1</v>
      </c>
      <c r="L38" s="11" t="s">
        <v>2</v>
      </c>
      <c r="M38" s="8" t="s">
        <v>914</v>
      </c>
      <c r="N38" s="8" t="s">
        <v>915</v>
      </c>
      <c r="O38" s="11">
        <v>3988</v>
      </c>
      <c r="P38" s="22">
        <v>8</v>
      </c>
      <c r="Q38" s="12">
        <f t="shared" ref="Q38:Q46" si="0">P38/O38*1000</f>
        <v>2.0060180541624875</v>
      </c>
      <c r="R38" s="11" t="s">
        <v>40</v>
      </c>
      <c r="S38" s="8">
        <v>65</v>
      </c>
      <c r="T38" s="12">
        <f t="shared" ref="T38:T46" si="1">S38/(O38/1000)</f>
        <v>16.298896690070212</v>
      </c>
      <c r="U38" s="11" t="s">
        <v>857</v>
      </c>
      <c r="V38" s="11"/>
      <c r="W38" s="11" t="s">
        <v>11</v>
      </c>
      <c r="X38" s="9" t="s">
        <v>41</v>
      </c>
      <c r="Y38" s="9" t="s">
        <v>42</v>
      </c>
      <c r="Z38" s="8" t="s">
        <v>150</v>
      </c>
      <c r="AA38" s="9"/>
      <c r="AB38" s="9" t="s">
        <v>2347</v>
      </c>
      <c r="AC38" s="46" t="s">
        <v>2350</v>
      </c>
    </row>
    <row r="39" spans="1:29" s="30" customFormat="1" ht="33.75" customHeight="1">
      <c r="A39" s="11">
        <v>7</v>
      </c>
      <c r="B39" s="8" t="s">
        <v>10</v>
      </c>
      <c r="C39" s="9">
        <v>262270</v>
      </c>
      <c r="D39" s="9">
        <v>86230</v>
      </c>
      <c r="E39" s="46" t="s">
        <v>2378</v>
      </c>
      <c r="F39" s="9">
        <v>50.654800999999999</v>
      </c>
      <c r="G39" s="9">
        <v>-3.9568466</v>
      </c>
      <c r="H39" s="10" t="s">
        <v>54</v>
      </c>
      <c r="I39" s="8" t="s">
        <v>55</v>
      </c>
      <c r="J39" s="9">
        <v>6011</v>
      </c>
      <c r="K39" s="11">
        <v>2</v>
      </c>
      <c r="L39" s="11" t="s">
        <v>2</v>
      </c>
      <c r="M39" s="8" t="s">
        <v>1283</v>
      </c>
      <c r="N39" s="8" t="s">
        <v>911</v>
      </c>
      <c r="O39" s="11">
        <f>6579-1358</f>
        <v>5221</v>
      </c>
      <c r="P39" s="22">
        <v>7</v>
      </c>
      <c r="Q39" s="12">
        <f t="shared" si="0"/>
        <v>1.3407393219689716</v>
      </c>
      <c r="R39" s="11" t="s">
        <v>40</v>
      </c>
      <c r="S39" s="8">
        <v>60</v>
      </c>
      <c r="T39" s="12">
        <f t="shared" si="1"/>
        <v>11.492051331162612</v>
      </c>
      <c r="U39" s="11" t="s">
        <v>857</v>
      </c>
      <c r="V39" s="11"/>
      <c r="W39" s="11" t="s">
        <v>11</v>
      </c>
      <c r="X39" s="9" t="s">
        <v>41</v>
      </c>
      <c r="Y39" s="9" t="s">
        <v>42</v>
      </c>
      <c r="Z39" s="8" t="s">
        <v>150</v>
      </c>
      <c r="AA39" s="9"/>
      <c r="AB39" s="9" t="s">
        <v>2347</v>
      </c>
      <c r="AC39" s="46" t="s">
        <v>2350</v>
      </c>
    </row>
    <row r="40" spans="1:29" s="30" customFormat="1" ht="33.75" customHeight="1">
      <c r="A40" s="11">
        <v>7</v>
      </c>
      <c r="B40" s="8" t="s">
        <v>10</v>
      </c>
      <c r="C40" s="9">
        <v>261770</v>
      </c>
      <c r="D40" s="9">
        <v>81520</v>
      </c>
      <c r="E40" s="46" t="s">
        <v>2378</v>
      </c>
      <c r="F40" s="9">
        <v>50.612350999999997</v>
      </c>
      <c r="G40" s="9">
        <v>-3.9621515</v>
      </c>
      <c r="H40" s="10" t="s">
        <v>56</v>
      </c>
      <c r="I40" s="8" t="s">
        <v>57</v>
      </c>
      <c r="J40" s="9">
        <v>505</v>
      </c>
      <c r="K40" s="11">
        <v>3</v>
      </c>
      <c r="L40" s="11" t="s">
        <v>2</v>
      </c>
      <c r="M40" s="8" t="s">
        <v>916</v>
      </c>
      <c r="N40" s="8" t="s">
        <v>917</v>
      </c>
      <c r="O40" s="11">
        <v>5844</v>
      </c>
      <c r="P40" s="22">
        <v>9</v>
      </c>
      <c r="Q40" s="12">
        <f t="shared" si="0"/>
        <v>1.540041067761807</v>
      </c>
      <c r="R40" s="11" t="s">
        <v>40</v>
      </c>
      <c r="S40" s="8">
        <v>60</v>
      </c>
      <c r="T40" s="12">
        <f t="shared" si="1"/>
        <v>10.266940451745379</v>
      </c>
      <c r="U40" s="11" t="s">
        <v>857</v>
      </c>
      <c r="V40" s="11"/>
      <c r="W40" s="11" t="s">
        <v>11</v>
      </c>
      <c r="X40" s="9" t="s">
        <v>41</v>
      </c>
      <c r="Y40" s="9" t="s">
        <v>42</v>
      </c>
      <c r="Z40" s="8" t="s">
        <v>150</v>
      </c>
      <c r="AA40" s="9"/>
      <c r="AB40" s="9" t="s">
        <v>2347</v>
      </c>
      <c r="AC40" s="46" t="s">
        <v>2350</v>
      </c>
    </row>
    <row r="41" spans="1:29" s="30" customFormat="1" ht="33.75" customHeight="1">
      <c r="A41" s="11">
        <v>7</v>
      </c>
      <c r="B41" s="8" t="s">
        <v>10</v>
      </c>
      <c r="C41" s="9">
        <v>263180</v>
      </c>
      <c r="D41" s="9">
        <v>82630</v>
      </c>
      <c r="E41" s="46" t="s">
        <v>2378</v>
      </c>
      <c r="F41" s="9">
        <v>50.622661000000001</v>
      </c>
      <c r="G41" s="9">
        <v>-3.9426462</v>
      </c>
      <c r="H41" s="10" t="s">
        <v>58</v>
      </c>
      <c r="I41" s="8" t="s">
        <v>59</v>
      </c>
      <c r="J41" s="9">
        <v>518</v>
      </c>
      <c r="K41" s="11">
        <v>4</v>
      </c>
      <c r="L41" s="11" t="s">
        <v>2</v>
      </c>
      <c r="M41" s="8" t="s">
        <v>913</v>
      </c>
      <c r="N41" s="8" t="s">
        <v>912</v>
      </c>
      <c r="O41" s="11">
        <v>7009</v>
      </c>
      <c r="P41" s="22">
        <v>13</v>
      </c>
      <c r="Q41" s="12">
        <f t="shared" si="0"/>
        <v>1.8547581680696248</v>
      </c>
      <c r="R41" s="11" t="s">
        <v>40</v>
      </c>
      <c r="S41" s="8">
        <v>90</v>
      </c>
      <c r="T41" s="12">
        <f t="shared" si="1"/>
        <v>12.840633471251248</v>
      </c>
      <c r="U41" s="11" t="s">
        <v>857</v>
      </c>
      <c r="V41" s="11"/>
      <c r="W41" s="11" t="s">
        <v>11</v>
      </c>
      <c r="X41" s="9" t="s">
        <v>41</v>
      </c>
      <c r="Y41" s="9" t="s">
        <v>42</v>
      </c>
      <c r="Z41" s="8" t="s">
        <v>150</v>
      </c>
      <c r="AA41" s="9"/>
      <c r="AB41" s="9" t="s">
        <v>2347</v>
      </c>
      <c r="AC41" s="46" t="s">
        <v>2350</v>
      </c>
    </row>
    <row r="42" spans="1:29" s="30" customFormat="1" ht="33.75" customHeight="1">
      <c r="A42" s="11">
        <v>55</v>
      </c>
      <c r="B42" s="8" t="s">
        <v>10</v>
      </c>
      <c r="C42" s="9">
        <v>266000</v>
      </c>
      <c r="D42" s="9">
        <v>86500</v>
      </c>
      <c r="E42" s="46" t="s">
        <v>2379</v>
      </c>
      <c r="F42" s="26">
        <v>50.658101000000002</v>
      </c>
      <c r="G42" s="26">
        <v>-3.9042094000000001</v>
      </c>
      <c r="H42" s="10" t="s">
        <v>218</v>
      </c>
      <c r="I42" s="8" t="s">
        <v>219</v>
      </c>
      <c r="J42" s="9">
        <v>400</v>
      </c>
      <c r="K42" s="11" t="s">
        <v>220</v>
      </c>
      <c r="L42" s="11" t="s">
        <v>2</v>
      </c>
      <c r="M42" s="8">
        <v>5652</v>
      </c>
      <c r="N42" s="8">
        <v>5193</v>
      </c>
      <c r="O42" s="11">
        <f>M42-N42</f>
        <v>459</v>
      </c>
      <c r="P42" s="22">
        <v>4</v>
      </c>
      <c r="Q42" s="12">
        <f t="shared" si="0"/>
        <v>8.7145969498910691</v>
      </c>
      <c r="R42" s="11" t="s">
        <v>40</v>
      </c>
      <c r="S42" s="8">
        <v>20</v>
      </c>
      <c r="T42" s="12">
        <f t="shared" si="1"/>
        <v>43.572984749455337</v>
      </c>
      <c r="U42" s="11"/>
      <c r="V42" s="11"/>
      <c r="W42" s="11" t="s">
        <v>222</v>
      </c>
      <c r="X42" s="9" t="s">
        <v>195</v>
      </c>
      <c r="Y42" s="9" t="s">
        <v>43</v>
      </c>
      <c r="Z42" s="8" t="s">
        <v>223</v>
      </c>
      <c r="AA42" s="9"/>
      <c r="AB42" s="9" t="s">
        <v>2347</v>
      </c>
      <c r="AC42" s="46" t="s">
        <v>2350</v>
      </c>
    </row>
    <row r="43" spans="1:29" s="30" customFormat="1" ht="33.75" customHeight="1">
      <c r="A43" s="11">
        <v>55</v>
      </c>
      <c r="B43" s="8" t="s">
        <v>10</v>
      </c>
      <c r="C43" s="9">
        <v>266000</v>
      </c>
      <c r="D43" s="9">
        <v>86500</v>
      </c>
      <c r="E43" s="46" t="s">
        <v>2379</v>
      </c>
      <c r="F43" s="26">
        <v>50.658101000000002</v>
      </c>
      <c r="G43" s="26">
        <v>-3.9042094000000001</v>
      </c>
      <c r="H43" s="10" t="s">
        <v>218</v>
      </c>
      <c r="I43" s="8" t="s">
        <v>219</v>
      </c>
      <c r="J43" s="9">
        <v>400</v>
      </c>
      <c r="K43" s="11" t="s">
        <v>221</v>
      </c>
      <c r="L43" s="11" t="s">
        <v>2</v>
      </c>
      <c r="M43" s="8">
        <v>7845</v>
      </c>
      <c r="N43" s="8">
        <v>108</v>
      </c>
      <c r="O43" s="11">
        <f>M43-N43</f>
        <v>7737</v>
      </c>
      <c r="P43" s="22">
        <v>10</v>
      </c>
      <c r="Q43" s="12">
        <f t="shared" si="0"/>
        <v>1.2924906294429364</v>
      </c>
      <c r="R43" s="11" t="s">
        <v>40</v>
      </c>
      <c r="S43" s="8">
        <v>75</v>
      </c>
      <c r="T43" s="12">
        <f t="shared" si="1"/>
        <v>9.6936797208220238</v>
      </c>
      <c r="U43" s="11"/>
      <c r="V43" s="11"/>
      <c r="W43" s="11" t="s">
        <v>222</v>
      </c>
      <c r="X43" s="9" t="s">
        <v>195</v>
      </c>
      <c r="Y43" s="9" t="s">
        <v>43</v>
      </c>
      <c r="Z43" s="8" t="s">
        <v>223</v>
      </c>
      <c r="AA43" s="9"/>
      <c r="AB43" s="9" t="s">
        <v>2347</v>
      </c>
      <c r="AC43" s="46" t="s">
        <v>2350</v>
      </c>
    </row>
    <row r="44" spans="1:29" ht="33.75" customHeight="1">
      <c r="A44" s="11">
        <v>67</v>
      </c>
      <c r="B44" s="8" t="s">
        <v>10</v>
      </c>
      <c r="C44" s="9">
        <v>263200</v>
      </c>
      <c r="D44" s="9">
        <v>69100</v>
      </c>
      <c r="E44" s="46" t="s">
        <v>2381</v>
      </c>
      <c r="F44" s="9">
        <v>50.501061</v>
      </c>
      <c r="G44" s="9">
        <v>-3.9373691000000002</v>
      </c>
      <c r="H44" s="10" t="s">
        <v>301</v>
      </c>
      <c r="I44" s="8" t="s">
        <v>260</v>
      </c>
      <c r="J44" s="9">
        <v>457</v>
      </c>
      <c r="K44" s="11" t="s">
        <v>261</v>
      </c>
      <c r="L44" s="11" t="s">
        <v>2</v>
      </c>
      <c r="M44" s="8" t="s">
        <v>980</v>
      </c>
      <c r="N44" s="8" t="s">
        <v>979</v>
      </c>
      <c r="O44" s="11">
        <v>3400</v>
      </c>
      <c r="P44" s="22">
        <v>3</v>
      </c>
      <c r="Q44" s="12">
        <f t="shared" si="0"/>
        <v>0.88235294117647067</v>
      </c>
      <c r="R44" s="11" t="s">
        <v>40</v>
      </c>
      <c r="S44" s="8">
        <v>25</v>
      </c>
      <c r="T44" s="12">
        <f t="shared" si="1"/>
        <v>7.3529411764705888</v>
      </c>
      <c r="U44" s="11" t="s">
        <v>978</v>
      </c>
      <c r="V44" s="28" t="s">
        <v>594</v>
      </c>
      <c r="W44" s="11" t="s">
        <v>262</v>
      </c>
      <c r="X44" s="9" t="s">
        <v>252</v>
      </c>
      <c r="Y44" s="9" t="s">
        <v>43</v>
      </c>
      <c r="Z44" s="8" t="s">
        <v>263</v>
      </c>
      <c r="AA44" s="9"/>
      <c r="AB44" s="9" t="s">
        <v>2347</v>
      </c>
      <c r="AC44" s="46" t="s">
        <v>2350</v>
      </c>
    </row>
    <row r="45" spans="1:29" ht="33.75" customHeight="1">
      <c r="A45" s="11">
        <v>68</v>
      </c>
      <c r="B45" s="8" t="s">
        <v>10</v>
      </c>
      <c r="C45" s="9">
        <v>258400</v>
      </c>
      <c r="D45" s="9">
        <v>84700</v>
      </c>
      <c r="E45" s="46" t="s">
        <v>2380</v>
      </c>
      <c r="F45" s="9"/>
      <c r="G45" s="9"/>
      <c r="H45" s="10" t="s">
        <v>267</v>
      </c>
      <c r="I45" s="8" t="s">
        <v>268</v>
      </c>
      <c r="J45" s="9">
        <v>447</v>
      </c>
      <c r="K45" s="11" t="s">
        <v>269</v>
      </c>
      <c r="L45" s="11" t="s">
        <v>2</v>
      </c>
      <c r="M45" s="8">
        <v>7730</v>
      </c>
      <c r="N45" s="8">
        <v>6260</v>
      </c>
      <c r="O45" s="11">
        <f>M45-N45</f>
        <v>1470</v>
      </c>
      <c r="P45" s="22">
        <v>5</v>
      </c>
      <c r="Q45" s="12">
        <f t="shared" si="0"/>
        <v>3.4013605442176869</v>
      </c>
      <c r="R45" s="11" t="s">
        <v>40</v>
      </c>
      <c r="S45" s="8">
        <v>30</v>
      </c>
      <c r="T45" s="12">
        <f t="shared" si="1"/>
        <v>20.408163265306122</v>
      </c>
      <c r="U45" s="11"/>
      <c r="V45" s="11"/>
      <c r="W45" s="11" t="s">
        <v>264</v>
      </c>
      <c r="X45" s="9" t="s">
        <v>265</v>
      </c>
      <c r="Y45" s="9" t="s">
        <v>100</v>
      </c>
      <c r="Z45" s="8" t="s">
        <v>266</v>
      </c>
      <c r="AA45" s="9"/>
      <c r="AB45" s="9" t="s">
        <v>2347</v>
      </c>
      <c r="AC45" s="46" t="s">
        <v>2350</v>
      </c>
    </row>
    <row r="46" spans="1:29" ht="33.75" customHeight="1">
      <c r="A46" s="9">
        <v>90</v>
      </c>
      <c r="B46" s="8" t="s">
        <v>10</v>
      </c>
      <c r="C46" s="9">
        <v>260021</v>
      </c>
      <c r="D46" s="9">
        <v>72730</v>
      </c>
      <c r="E46" s="46" t="s">
        <v>2382</v>
      </c>
      <c r="F46" s="11">
        <v>50.537545000000001</v>
      </c>
      <c r="G46" s="9">
        <v>-3.9766713999999999</v>
      </c>
      <c r="H46" s="10" t="s">
        <v>1508</v>
      </c>
      <c r="I46" s="8" t="s">
        <v>429</v>
      </c>
      <c r="J46" s="9">
        <v>390</v>
      </c>
      <c r="K46" s="11"/>
      <c r="L46" s="11" t="s">
        <v>183</v>
      </c>
      <c r="M46" s="8">
        <v>4105</v>
      </c>
      <c r="N46" s="8">
        <v>840</v>
      </c>
      <c r="O46" s="11">
        <f>M46-N46</f>
        <v>3265</v>
      </c>
      <c r="P46" s="22">
        <v>13</v>
      </c>
      <c r="Q46" s="12">
        <f t="shared" si="0"/>
        <v>3.9816232771822357</v>
      </c>
      <c r="R46" s="11" t="s">
        <v>40</v>
      </c>
      <c r="S46" s="8">
        <v>50</v>
      </c>
      <c r="T46" s="12">
        <f t="shared" si="1"/>
        <v>15.313935681470138</v>
      </c>
      <c r="U46" s="11"/>
      <c r="V46" s="11"/>
      <c r="W46" s="11" t="s">
        <v>430</v>
      </c>
      <c r="X46" s="9" t="s">
        <v>432</v>
      </c>
      <c r="Y46" s="9" t="s">
        <v>100</v>
      </c>
      <c r="Z46" s="8" t="s">
        <v>431</v>
      </c>
      <c r="AA46" s="9"/>
      <c r="AB46" s="9" t="s">
        <v>2347</v>
      </c>
      <c r="AC46" s="46" t="s">
        <v>2350</v>
      </c>
    </row>
    <row r="47" spans="1:29" ht="33.75" customHeight="1">
      <c r="A47" s="9"/>
      <c r="B47" s="8" t="s">
        <v>10</v>
      </c>
      <c r="C47" s="26">
        <v>257900</v>
      </c>
      <c r="D47" s="26">
        <v>84200</v>
      </c>
      <c r="E47" s="46" t="s">
        <v>2383</v>
      </c>
      <c r="F47" s="26">
        <v>50.640118000000001</v>
      </c>
      <c r="G47" s="26">
        <v>-4.0109710999999999</v>
      </c>
      <c r="H47" s="10" t="s">
        <v>267</v>
      </c>
      <c r="I47" s="8" t="s">
        <v>1291</v>
      </c>
      <c r="J47" s="9">
        <v>445</v>
      </c>
      <c r="K47" s="11"/>
      <c r="L47" s="11" t="s">
        <v>1295</v>
      </c>
      <c r="M47" s="8"/>
      <c r="N47" s="8"/>
      <c r="O47" s="11"/>
      <c r="P47" s="22">
        <v>0</v>
      </c>
      <c r="Q47" s="12"/>
      <c r="R47" s="11"/>
      <c r="S47" s="8">
        <v>87</v>
      </c>
      <c r="T47" s="12"/>
      <c r="U47" s="11" t="s">
        <v>904</v>
      </c>
      <c r="V47" s="11" t="s">
        <v>594</v>
      </c>
      <c r="W47" s="11"/>
      <c r="X47" s="9"/>
      <c r="Y47" s="9"/>
      <c r="Z47" s="8" t="s">
        <v>1297</v>
      </c>
      <c r="AA47" s="9"/>
      <c r="AB47" s="9" t="s">
        <v>2347</v>
      </c>
      <c r="AC47" s="46" t="s">
        <v>2350</v>
      </c>
    </row>
    <row r="48" spans="1:29" ht="33.75" customHeight="1">
      <c r="A48" s="9"/>
      <c r="B48" s="8" t="s">
        <v>10</v>
      </c>
      <c r="C48" s="26">
        <v>257950</v>
      </c>
      <c r="D48" s="26">
        <v>83996</v>
      </c>
      <c r="E48" s="46" t="s">
        <v>2383</v>
      </c>
      <c r="F48" s="26">
        <v>50.638297000000001</v>
      </c>
      <c r="G48" s="26">
        <v>-4.0101861999999997</v>
      </c>
      <c r="H48" s="10" t="s">
        <v>1296</v>
      </c>
      <c r="I48" s="8" t="s">
        <v>1292</v>
      </c>
      <c r="J48" s="9">
        <v>445</v>
      </c>
      <c r="K48" s="11"/>
      <c r="L48" s="11" t="s">
        <v>1295</v>
      </c>
      <c r="M48" s="8" t="s">
        <v>1294</v>
      </c>
      <c r="N48" s="8" t="s">
        <v>1293</v>
      </c>
      <c r="O48" s="11">
        <f>6460-6360</f>
        <v>100</v>
      </c>
      <c r="P48" s="22">
        <v>3</v>
      </c>
      <c r="Q48" s="12"/>
      <c r="R48" s="11"/>
      <c r="S48" s="8">
        <v>10</v>
      </c>
      <c r="T48" s="12"/>
      <c r="U48" s="11" t="s">
        <v>904</v>
      </c>
      <c r="V48" s="11" t="s">
        <v>594</v>
      </c>
      <c r="W48" s="11"/>
      <c r="X48" s="9"/>
      <c r="Y48" s="9"/>
      <c r="Z48" s="8" t="s">
        <v>1297</v>
      </c>
      <c r="AA48" s="9"/>
      <c r="AB48" s="9" t="s">
        <v>2347</v>
      </c>
      <c r="AC48" s="46" t="s">
        <v>2350</v>
      </c>
    </row>
    <row r="49" spans="1:29" ht="33.75" customHeight="1">
      <c r="A49" s="9"/>
      <c r="B49" s="8" t="s">
        <v>1082</v>
      </c>
      <c r="C49" s="26">
        <v>418100</v>
      </c>
      <c r="D49" s="26">
        <v>371500</v>
      </c>
      <c r="E49" s="46" t="s">
        <v>2384</v>
      </c>
      <c r="F49" s="26">
        <v>53.240222000000003</v>
      </c>
      <c r="G49" s="26">
        <v>-1.7302535000000001</v>
      </c>
      <c r="H49" s="10" t="s">
        <v>1074</v>
      </c>
      <c r="I49" s="8" t="s">
        <v>1073</v>
      </c>
      <c r="J49" s="9">
        <v>170</v>
      </c>
      <c r="K49" s="11"/>
      <c r="L49" s="11"/>
      <c r="M49" s="8" t="s">
        <v>1077</v>
      </c>
      <c r="N49" s="8" t="s">
        <v>1080</v>
      </c>
      <c r="O49" s="11">
        <f>9220-8520</f>
        <v>700</v>
      </c>
      <c r="P49" s="22">
        <v>2</v>
      </c>
      <c r="Q49" s="12">
        <f>P49/O49*1000</f>
        <v>2.8571428571428572</v>
      </c>
      <c r="R49" s="11"/>
      <c r="S49" s="8">
        <v>20</v>
      </c>
      <c r="T49" s="12">
        <f>S49/(O49/1000)</f>
        <v>28.571428571428573</v>
      </c>
      <c r="U49" s="11" t="s">
        <v>1081</v>
      </c>
      <c r="V49" s="11" t="s">
        <v>594</v>
      </c>
      <c r="W49" s="11"/>
      <c r="X49" s="9"/>
      <c r="Y49" s="9"/>
      <c r="Z49" s="8" t="s">
        <v>1083</v>
      </c>
      <c r="AA49" s="9"/>
      <c r="AB49" s="9" t="s">
        <v>2347</v>
      </c>
      <c r="AC49" s="46" t="s">
        <v>2350</v>
      </c>
    </row>
    <row r="50" spans="1:29" ht="33.75" customHeight="1">
      <c r="A50" s="9"/>
      <c r="B50" s="8" t="s">
        <v>1082</v>
      </c>
      <c r="C50" s="26">
        <v>421300</v>
      </c>
      <c r="D50" s="26">
        <v>365400</v>
      </c>
      <c r="E50" s="46" t="s">
        <v>2384</v>
      </c>
      <c r="F50" s="26">
        <v>53.185273000000002</v>
      </c>
      <c r="G50" s="26">
        <v>-1.6827114999999999</v>
      </c>
      <c r="H50" s="10" t="s">
        <v>1076</v>
      </c>
      <c r="I50" s="8" t="s">
        <v>1075</v>
      </c>
      <c r="J50" s="9">
        <v>150</v>
      </c>
      <c r="K50" s="11"/>
      <c r="L50" s="11"/>
      <c r="M50" s="8" t="s">
        <v>1078</v>
      </c>
      <c r="N50" s="8" t="s">
        <v>1079</v>
      </c>
      <c r="O50" s="11">
        <f>5780-4500</f>
        <v>1280</v>
      </c>
      <c r="P50" s="22">
        <v>3</v>
      </c>
      <c r="Q50" s="12">
        <f>P50/O50*1000</f>
        <v>2.34375</v>
      </c>
      <c r="R50" s="11"/>
      <c r="S50" s="8">
        <v>14</v>
      </c>
      <c r="T50" s="12">
        <f>S50/(O50/1000)</f>
        <v>10.9375</v>
      </c>
      <c r="U50" s="11" t="s">
        <v>1081</v>
      </c>
      <c r="V50" s="11" t="s">
        <v>594</v>
      </c>
      <c r="W50" s="11"/>
      <c r="X50" s="9"/>
      <c r="Y50" s="9"/>
      <c r="Z50" s="8" t="s">
        <v>1083</v>
      </c>
      <c r="AA50" s="9"/>
      <c r="AB50" s="9" t="s">
        <v>2347</v>
      </c>
      <c r="AC50" s="46" t="s">
        <v>2350</v>
      </c>
    </row>
    <row r="51" spans="1:29" ht="33.75" customHeight="1">
      <c r="A51" s="9"/>
      <c r="B51" s="8" t="s">
        <v>1082</v>
      </c>
      <c r="C51" s="26">
        <v>410500</v>
      </c>
      <c r="D51" s="26">
        <v>387600</v>
      </c>
      <c r="E51" s="46" t="s">
        <v>2385</v>
      </c>
      <c r="F51" s="26">
        <v>53.385142000000002</v>
      </c>
      <c r="G51" s="26">
        <v>-1.8436018000000001</v>
      </c>
      <c r="H51" s="10" t="s">
        <v>1086</v>
      </c>
      <c r="I51" s="8" t="s">
        <v>1084</v>
      </c>
      <c r="J51" s="9">
        <v>610</v>
      </c>
      <c r="K51" s="11"/>
      <c r="L51" s="11"/>
      <c r="M51" s="8"/>
      <c r="N51" s="8"/>
      <c r="O51" s="11"/>
      <c r="P51" s="22">
        <v>0</v>
      </c>
      <c r="Q51" s="12"/>
      <c r="R51" s="11"/>
      <c r="S51" s="8">
        <v>12</v>
      </c>
      <c r="T51" s="12"/>
      <c r="U51" s="11" t="s">
        <v>669</v>
      </c>
      <c r="V51" s="11" t="s">
        <v>593</v>
      </c>
      <c r="W51" s="11"/>
      <c r="X51" s="9"/>
      <c r="Y51" s="9"/>
      <c r="Z51" s="8" t="s">
        <v>1105</v>
      </c>
      <c r="AA51" s="9"/>
      <c r="AB51" s="9" t="s">
        <v>2347</v>
      </c>
      <c r="AC51" s="46" t="s">
        <v>2350</v>
      </c>
    </row>
    <row r="52" spans="1:29" ht="33.75" customHeight="1">
      <c r="A52" s="9"/>
      <c r="B52" s="8" t="s">
        <v>1082</v>
      </c>
      <c r="C52" s="26">
        <v>409000</v>
      </c>
      <c r="D52" s="26">
        <v>392800</v>
      </c>
      <c r="E52" s="46" t="s">
        <v>2385</v>
      </c>
      <c r="F52" s="26">
        <v>53.431910000000002</v>
      </c>
      <c r="G52" s="26">
        <v>-1.866007</v>
      </c>
      <c r="H52" s="10" t="s">
        <v>1087</v>
      </c>
      <c r="I52" s="8" t="s">
        <v>1085</v>
      </c>
      <c r="J52" s="9">
        <v>275</v>
      </c>
      <c r="K52" s="11"/>
      <c r="L52" s="11"/>
      <c r="M52" s="8"/>
      <c r="N52" s="8"/>
      <c r="O52" s="11"/>
      <c r="P52" s="22">
        <v>0</v>
      </c>
      <c r="Q52" s="12"/>
      <c r="R52" s="11"/>
      <c r="S52" s="8">
        <v>14</v>
      </c>
      <c r="T52" s="12"/>
      <c r="U52" s="11" t="s">
        <v>669</v>
      </c>
      <c r="V52" s="11" t="s">
        <v>593</v>
      </c>
      <c r="W52" s="11"/>
      <c r="X52" s="9"/>
      <c r="Y52" s="9"/>
      <c r="Z52" s="8" t="s">
        <v>1105</v>
      </c>
      <c r="AA52" s="9"/>
      <c r="AB52" s="9" t="s">
        <v>2347</v>
      </c>
      <c r="AC52" s="46" t="s">
        <v>2350</v>
      </c>
    </row>
    <row r="53" spans="1:29" ht="33.75" customHeight="1">
      <c r="A53" s="9"/>
      <c r="B53" s="8" t="s">
        <v>1082</v>
      </c>
      <c r="C53" s="26">
        <v>426630</v>
      </c>
      <c r="D53" s="26">
        <v>383190</v>
      </c>
      <c r="E53" s="48" t="s">
        <v>2386</v>
      </c>
      <c r="F53" s="26">
        <v>53.344940000000001</v>
      </c>
      <c r="G53" s="26">
        <v>-1.6014693</v>
      </c>
      <c r="H53" s="10" t="s">
        <v>811</v>
      </c>
      <c r="I53" s="8" t="s">
        <v>802</v>
      </c>
      <c r="J53" s="9">
        <v>408</v>
      </c>
      <c r="K53" s="11"/>
      <c r="L53" s="11" t="s">
        <v>2</v>
      </c>
      <c r="M53" s="8"/>
      <c r="N53" s="8"/>
      <c r="O53" s="11"/>
      <c r="P53" s="22">
        <v>0</v>
      </c>
      <c r="Q53" s="12"/>
      <c r="R53" s="11"/>
      <c r="S53" s="8">
        <v>50</v>
      </c>
      <c r="T53" s="12"/>
      <c r="U53" s="11" t="s">
        <v>820</v>
      </c>
      <c r="V53" s="11" t="s">
        <v>594</v>
      </c>
      <c r="W53" s="11"/>
      <c r="X53" s="9"/>
      <c r="Y53" s="9"/>
      <c r="Z53" s="8" t="s">
        <v>824</v>
      </c>
      <c r="AA53" s="9"/>
      <c r="AB53" s="9" t="s">
        <v>2347</v>
      </c>
      <c r="AC53" s="46" t="s">
        <v>2350</v>
      </c>
    </row>
    <row r="54" spans="1:29" ht="33.75" customHeight="1">
      <c r="A54" s="9"/>
      <c r="B54" s="8" t="s">
        <v>1082</v>
      </c>
      <c r="C54" s="26">
        <v>427920</v>
      </c>
      <c r="D54" s="26">
        <v>378440</v>
      </c>
      <c r="E54" s="48" t="s">
        <v>2386</v>
      </c>
      <c r="F54" s="26">
        <v>53.302179000000002</v>
      </c>
      <c r="G54" s="26">
        <v>-1.5825102</v>
      </c>
      <c r="H54" s="10" t="s">
        <v>809</v>
      </c>
      <c r="I54" s="8" t="s">
        <v>803</v>
      </c>
      <c r="J54" s="9">
        <v>358</v>
      </c>
      <c r="K54" s="11"/>
      <c r="L54" s="11" t="s">
        <v>2</v>
      </c>
      <c r="M54" s="8" t="s">
        <v>814</v>
      </c>
      <c r="N54" s="8"/>
      <c r="O54" s="11"/>
      <c r="P54" s="22">
        <v>1</v>
      </c>
      <c r="Q54" s="12"/>
      <c r="R54" s="11"/>
      <c r="S54" s="8">
        <v>54</v>
      </c>
      <c r="T54" s="12"/>
      <c r="U54" s="11" t="s">
        <v>815</v>
      </c>
      <c r="V54" s="11" t="s">
        <v>594</v>
      </c>
      <c r="W54" s="11"/>
      <c r="X54" s="9"/>
      <c r="Y54" s="9"/>
      <c r="Z54" s="8" t="s">
        <v>824</v>
      </c>
      <c r="AA54" s="9"/>
      <c r="AB54" s="9" t="s">
        <v>2347</v>
      </c>
      <c r="AC54" s="46" t="s">
        <v>2350</v>
      </c>
    </row>
    <row r="55" spans="1:29" ht="33.75" customHeight="1">
      <c r="A55" s="9"/>
      <c r="B55" s="8" t="s">
        <v>1082</v>
      </c>
      <c r="C55" s="26">
        <v>429560</v>
      </c>
      <c r="D55" s="26">
        <v>374060</v>
      </c>
      <c r="E55" s="48" t="s">
        <v>2386</v>
      </c>
      <c r="F55" s="26">
        <v>53.262720999999999</v>
      </c>
      <c r="G55" s="26">
        <v>-1.558308</v>
      </c>
      <c r="H55" s="10" t="s">
        <v>808</v>
      </c>
      <c r="I55" s="8" t="s">
        <v>804</v>
      </c>
      <c r="J55" s="9">
        <v>290</v>
      </c>
      <c r="K55" s="11"/>
      <c r="L55" s="11" t="s">
        <v>2</v>
      </c>
      <c r="M55" s="8" t="s">
        <v>823</v>
      </c>
      <c r="N55" s="8" t="s">
        <v>817</v>
      </c>
      <c r="O55" s="11">
        <f>4300-420</f>
        <v>3880</v>
      </c>
      <c r="P55" s="22">
        <v>9</v>
      </c>
      <c r="Q55" s="12">
        <f>P55/O55*1000</f>
        <v>2.3195876288659796</v>
      </c>
      <c r="R55" s="11"/>
      <c r="S55" s="8">
        <v>66</v>
      </c>
      <c r="T55" s="12">
        <f>S55/(O55/1000)</f>
        <v>17.010309278350515</v>
      </c>
      <c r="U55" s="11" t="s">
        <v>818</v>
      </c>
      <c r="V55" s="11" t="s">
        <v>594</v>
      </c>
      <c r="W55" s="11"/>
      <c r="X55" s="9"/>
      <c r="Y55" s="9"/>
      <c r="Z55" s="8" t="s">
        <v>824</v>
      </c>
      <c r="AA55" s="9"/>
      <c r="AB55" s="9" t="s">
        <v>2347</v>
      </c>
      <c r="AC55" s="46" t="s">
        <v>2350</v>
      </c>
    </row>
    <row r="56" spans="1:29" ht="33.75" customHeight="1">
      <c r="A56" s="9"/>
      <c r="B56" s="8" t="s">
        <v>1082</v>
      </c>
      <c r="C56" s="26">
        <v>430510</v>
      </c>
      <c r="D56" s="26">
        <v>368800</v>
      </c>
      <c r="E56" s="48" t="s">
        <v>2386</v>
      </c>
      <c r="F56" s="26">
        <v>53.215387999999997</v>
      </c>
      <c r="G56" s="26">
        <v>-1.5445684</v>
      </c>
      <c r="H56" s="10" t="s">
        <v>812</v>
      </c>
      <c r="I56" s="8" t="s">
        <v>805</v>
      </c>
      <c r="J56" s="9">
        <v>335</v>
      </c>
      <c r="K56" s="11"/>
      <c r="L56" s="11" t="s">
        <v>2</v>
      </c>
      <c r="M56" s="8" t="s">
        <v>816</v>
      </c>
      <c r="N56" s="8"/>
      <c r="O56" s="11"/>
      <c r="P56" s="22">
        <v>1</v>
      </c>
      <c r="Q56" s="12"/>
      <c r="R56" s="11"/>
      <c r="S56" s="8">
        <v>60</v>
      </c>
      <c r="T56" s="12"/>
      <c r="U56" s="11" t="s">
        <v>819</v>
      </c>
      <c r="V56" s="11" t="s">
        <v>594</v>
      </c>
      <c r="W56" s="11"/>
      <c r="X56" s="9"/>
      <c r="Y56" s="9"/>
      <c r="Z56" s="8" t="s">
        <v>824</v>
      </c>
      <c r="AA56" s="9"/>
      <c r="AB56" s="9" t="s">
        <v>2347</v>
      </c>
      <c r="AC56" s="46" t="s">
        <v>2350</v>
      </c>
    </row>
    <row r="57" spans="1:29" ht="33.75" customHeight="1">
      <c r="A57" s="9"/>
      <c r="B57" s="8" t="s">
        <v>1082</v>
      </c>
      <c r="C57" s="26">
        <v>426490</v>
      </c>
      <c r="D57" s="26">
        <v>377470</v>
      </c>
      <c r="E57" s="48" t="s">
        <v>2386</v>
      </c>
      <c r="F57" s="26">
        <v>53.293532999999996</v>
      </c>
      <c r="G57" s="26">
        <v>-1.6040479999999999</v>
      </c>
      <c r="H57" s="10" t="s">
        <v>813</v>
      </c>
      <c r="I57" s="8" t="s">
        <v>806</v>
      </c>
      <c r="J57" s="9">
        <v>365</v>
      </c>
      <c r="K57" s="11"/>
      <c r="L57" s="11" t="s">
        <v>2</v>
      </c>
      <c r="M57" s="8"/>
      <c r="N57" s="8"/>
      <c r="O57" s="11"/>
      <c r="P57" s="22">
        <v>0</v>
      </c>
      <c r="Q57" s="12"/>
      <c r="R57" s="11"/>
      <c r="S57" s="8">
        <v>6</v>
      </c>
      <c r="T57" s="12"/>
      <c r="U57" s="11" t="s">
        <v>821</v>
      </c>
      <c r="V57" s="11" t="s">
        <v>594</v>
      </c>
      <c r="W57" s="11"/>
      <c r="X57" s="9"/>
      <c r="Y57" s="9"/>
      <c r="Z57" s="8" t="s">
        <v>824</v>
      </c>
      <c r="AA57" s="9"/>
      <c r="AB57" s="9" t="s">
        <v>2347</v>
      </c>
      <c r="AC57" s="46" t="s">
        <v>2350</v>
      </c>
    </row>
    <row r="58" spans="1:29" ht="33.75" customHeight="1">
      <c r="A58" s="9"/>
      <c r="B58" s="8" t="s">
        <v>1082</v>
      </c>
      <c r="C58" s="26">
        <v>428830</v>
      </c>
      <c r="D58" s="26">
        <v>378410</v>
      </c>
      <c r="E58" s="48" t="s">
        <v>2386</v>
      </c>
      <c r="F58" s="26">
        <v>53.301861000000002</v>
      </c>
      <c r="G58" s="26">
        <v>-1.5688584999999999</v>
      </c>
      <c r="H58" s="10" t="s">
        <v>810</v>
      </c>
      <c r="I58" s="8" t="s">
        <v>807</v>
      </c>
      <c r="J58" s="9">
        <v>358</v>
      </c>
      <c r="K58" s="11"/>
      <c r="L58" s="11" t="s">
        <v>2</v>
      </c>
      <c r="M58" s="8"/>
      <c r="N58" s="8"/>
      <c r="O58" s="11"/>
      <c r="P58" s="22">
        <v>0</v>
      </c>
      <c r="Q58" s="12"/>
      <c r="R58" s="11"/>
      <c r="S58" s="8">
        <v>50</v>
      </c>
      <c r="T58" s="12"/>
      <c r="U58" s="11" t="s">
        <v>822</v>
      </c>
      <c r="V58" s="11" t="s">
        <v>594</v>
      </c>
      <c r="W58" s="11"/>
      <c r="X58" s="9"/>
      <c r="Y58" s="9"/>
      <c r="Z58" s="8" t="s">
        <v>824</v>
      </c>
      <c r="AA58" s="9"/>
      <c r="AB58" s="9" t="s">
        <v>2347</v>
      </c>
      <c r="AC58" s="46" t="s">
        <v>2350</v>
      </c>
    </row>
    <row r="59" spans="1:29" ht="33.75" customHeight="1">
      <c r="A59" s="9">
        <v>53</v>
      </c>
      <c r="B59" s="8" t="s">
        <v>207</v>
      </c>
      <c r="C59" s="9">
        <v>288890</v>
      </c>
      <c r="D59" s="9">
        <v>116420</v>
      </c>
      <c r="E59" s="46" t="s">
        <v>2387</v>
      </c>
      <c r="F59" s="26">
        <v>50.931896999999999</v>
      </c>
      <c r="G59" s="26">
        <v>-3.5896180000000002</v>
      </c>
      <c r="H59" s="10" t="s">
        <v>200</v>
      </c>
      <c r="I59" s="8" t="s">
        <v>206</v>
      </c>
      <c r="J59" s="9">
        <v>223</v>
      </c>
      <c r="K59" s="11" t="s">
        <v>43</v>
      </c>
      <c r="L59" s="11" t="s">
        <v>2</v>
      </c>
      <c r="M59" s="8">
        <v>2860</v>
      </c>
      <c r="N59" s="8">
        <v>490</v>
      </c>
      <c r="O59" s="11">
        <f>M59-N59</f>
        <v>2370</v>
      </c>
      <c r="P59" s="22">
        <v>4</v>
      </c>
      <c r="Q59" s="12">
        <f>P59/O59*1000</f>
        <v>1.6877637130801688</v>
      </c>
      <c r="R59" s="11" t="s">
        <v>40</v>
      </c>
      <c r="S59" s="8">
        <v>36</v>
      </c>
      <c r="T59" s="12">
        <f>S59/(O59/1000)</f>
        <v>15.189873417721518</v>
      </c>
      <c r="U59" s="11"/>
      <c r="V59" s="11"/>
      <c r="W59" s="11" t="s">
        <v>208</v>
      </c>
      <c r="X59" s="9" t="s">
        <v>195</v>
      </c>
      <c r="Y59" s="9" t="s">
        <v>43</v>
      </c>
      <c r="Z59" s="8" t="s">
        <v>209</v>
      </c>
      <c r="AA59" s="9"/>
      <c r="AB59" s="9" t="s">
        <v>2347</v>
      </c>
      <c r="AC59" s="46" t="s">
        <v>2350</v>
      </c>
    </row>
    <row r="60" spans="1:29" ht="33.75" customHeight="1">
      <c r="A60" s="9">
        <v>53</v>
      </c>
      <c r="B60" s="8" t="s">
        <v>207</v>
      </c>
      <c r="C60" s="9">
        <v>285210</v>
      </c>
      <c r="D60" s="9">
        <v>121630</v>
      </c>
      <c r="E60" s="46" t="s">
        <v>2387</v>
      </c>
      <c r="F60" s="26">
        <v>50.978003000000001</v>
      </c>
      <c r="G60" s="26">
        <v>-3.6436147000000001</v>
      </c>
      <c r="H60" s="10" t="s">
        <v>297</v>
      </c>
      <c r="I60" s="8" t="s">
        <v>201</v>
      </c>
      <c r="J60" s="9">
        <v>242</v>
      </c>
      <c r="K60" s="11" t="s">
        <v>43</v>
      </c>
      <c r="L60" s="11" t="s">
        <v>2</v>
      </c>
      <c r="M60" s="8">
        <v>2250</v>
      </c>
      <c r="N60" s="8">
        <v>1080</v>
      </c>
      <c r="O60" s="11">
        <f>M60-N60</f>
        <v>1170</v>
      </c>
      <c r="P60" s="22">
        <v>4</v>
      </c>
      <c r="Q60" s="12">
        <f>P60/O60*1000</f>
        <v>3.4188034188034186</v>
      </c>
      <c r="R60" s="11" t="s">
        <v>40</v>
      </c>
      <c r="S60" s="8">
        <v>39</v>
      </c>
      <c r="T60" s="12">
        <f>S60/(O60/1000)</f>
        <v>33.333333333333336</v>
      </c>
      <c r="U60" s="11"/>
      <c r="V60" s="11"/>
      <c r="W60" s="11" t="s">
        <v>208</v>
      </c>
      <c r="X60" s="9" t="s">
        <v>195</v>
      </c>
      <c r="Y60" s="9" t="s">
        <v>43</v>
      </c>
      <c r="Z60" s="8" t="s">
        <v>209</v>
      </c>
      <c r="AA60" s="9"/>
      <c r="AB60" s="9" t="s">
        <v>2347</v>
      </c>
      <c r="AC60" s="46" t="s">
        <v>2350</v>
      </c>
    </row>
    <row r="61" spans="1:29" ht="33.75" customHeight="1">
      <c r="A61" s="9">
        <v>53</v>
      </c>
      <c r="B61" s="8" t="s">
        <v>207</v>
      </c>
      <c r="C61" s="9">
        <v>286600</v>
      </c>
      <c r="D61" s="9">
        <v>120760</v>
      </c>
      <c r="E61" s="46" t="s">
        <v>2387</v>
      </c>
      <c r="F61" s="26">
        <v>50.970460000000003</v>
      </c>
      <c r="G61" s="26">
        <v>-3.6235507</v>
      </c>
      <c r="H61" s="10" t="s">
        <v>204</v>
      </c>
      <c r="I61" s="8" t="s">
        <v>202</v>
      </c>
      <c r="J61" s="9">
        <v>254</v>
      </c>
      <c r="K61" s="11" t="s">
        <v>43</v>
      </c>
      <c r="L61" s="11" t="s">
        <v>2</v>
      </c>
      <c r="M61" s="8">
        <v>2170</v>
      </c>
      <c r="N61" s="8">
        <v>730</v>
      </c>
      <c r="O61" s="11">
        <f>M61-N61</f>
        <v>1440</v>
      </c>
      <c r="P61" s="22">
        <v>5</v>
      </c>
      <c r="Q61" s="12">
        <f>P61/O61*1000</f>
        <v>3.4722222222222219</v>
      </c>
      <c r="R61" s="11" t="s">
        <v>40</v>
      </c>
      <c r="S61" s="8">
        <v>48</v>
      </c>
      <c r="T61" s="12">
        <f>S61/(O61/1000)</f>
        <v>33.333333333333336</v>
      </c>
      <c r="U61" s="11"/>
      <c r="V61" s="11"/>
      <c r="W61" s="11" t="s">
        <v>208</v>
      </c>
      <c r="X61" s="9" t="s">
        <v>195</v>
      </c>
      <c r="Y61" s="9" t="s">
        <v>43</v>
      </c>
      <c r="Z61" s="8" t="s">
        <v>209</v>
      </c>
      <c r="AA61" s="9"/>
      <c r="AB61" s="9" t="s">
        <v>2347</v>
      </c>
      <c r="AC61" s="46" t="s">
        <v>2350</v>
      </c>
    </row>
    <row r="62" spans="1:29" ht="33.75" customHeight="1">
      <c r="A62" s="9">
        <v>53</v>
      </c>
      <c r="B62" s="8" t="s">
        <v>207</v>
      </c>
      <c r="C62" s="9">
        <v>285960</v>
      </c>
      <c r="D62" s="9">
        <v>121240</v>
      </c>
      <c r="E62" s="46" t="s">
        <v>2387</v>
      </c>
      <c r="F62" s="26">
        <v>50.974646999999997</v>
      </c>
      <c r="G62" s="26">
        <v>-3.6328130000000001</v>
      </c>
      <c r="H62" s="10" t="s">
        <v>205</v>
      </c>
      <c r="I62" s="8" t="s">
        <v>203</v>
      </c>
      <c r="J62" s="9">
        <v>259</v>
      </c>
      <c r="K62" s="11" t="s">
        <v>43</v>
      </c>
      <c r="L62" s="11" t="s">
        <v>2</v>
      </c>
      <c r="M62" s="8">
        <v>2820</v>
      </c>
      <c r="N62" s="8">
        <v>240</v>
      </c>
      <c r="O62" s="11">
        <f>M62-N62</f>
        <v>2580</v>
      </c>
      <c r="P62" s="22">
        <v>3</v>
      </c>
      <c r="Q62" s="12">
        <f>P62/O62*1000</f>
        <v>1.1627906976744187</v>
      </c>
      <c r="R62" s="11" t="s">
        <v>40</v>
      </c>
      <c r="S62" s="8">
        <v>33</v>
      </c>
      <c r="T62" s="12">
        <f>S62/(O62/1000)</f>
        <v>12.790697674418604</v>
      </c>
      <c r="U62" s="11"/>
      <c r="V62" s="11"/>
      <c r="W62" s="11" t="s">
        <v>208</v>
      </c>
      <c r="X62" s="9" t="s">
        <v>195</v>
      </c>
      <c r="Y62" s="9" t="s">
        <v>43</v>
      </c>
      <c r="Z62" s="8" t="s">
        <v>209</v>
      </c>
      <c r="AA62" s="9"/>
      <c r="AB62" s="9" t="s">
        <v>2347</v>
      </c>
      <c r="AC62" s="46" t="s">
        <v>2350</v>
      </c>
    </row>
    <row r="63" spans="1:29" s="30" customFormat="1" ht="33.75" customHeight="1">
      <c r="A63" s="9"/>
      <c r="B63" s="8" t="s">
        <v>207</v>
      </c>
      <c r="C63" s="26">
        <v>282506</v>
      </c>
      <c r="D63" s="26">
        <v>44777</v>
      </c>
      <c r="E63" s="46" t="s">
        <v>2388</v>
      </c>
      <c r="F63" s="26">
        <v>50.291218999999998</v>
      </c>
      <c r="G63" s="26">
        <v>-3.6507700999999999</v>
      </c>
      <c r="H63" s="10" t="s">
        <v>1376</v>
      </c>
      <c r="I63" s="8" t="s">
        <v>1373</v>
      </c>
      <c r="J63" s="9">
        <v>30</v>
      </c>
      <c r="K63" s="11"/>
      <c r="L63" s="11"/>
      <c r="M63" s="8"/>
      <c r="N63" s="8"/>
      <c r="O63" s="11"/>
      <c r="P63" s="22">
        <v>0</v>
      </c>
      <c r="Q63" s="12"/>
      <c r="R63" s="11"/>
      <c r="S63" s="8">
        <v>26</v>
      </c>
      <c r="T63" s="12"/>
      <c r="U63" s="11"/>
      <c r="V63" s="11" t="s">
        <v>594</v>
      </c>
      <c r="W63" s="11"/>
      <c r="X63" s="9"/>
      <c r="Y63" s="9"/>
      <c r="Z63" s="8" t="s">
        <v>1377</v>
      </c>
      <c r="AA63" s="9" t="s">
        <v>1375</v>
      </c>
      <c r="AB63" s="9" t="s">
        <v>2347</v>
      </c>
      <c r="AC63" s="46" t="s">
        <v>2350</v>
      </c>
    </row>
    <row r="64" spans="1:29" s="30" customFormat="1" ht="33.75" customHeight="1">
      <c r="A64" s="9"/>
      <c r="B64" s="8" t="s">
        <v>207</v>
      </c>
      <c r="C64" s="26">
        <v>294400</v>
      </c>
      <c r="D64" s="26">
        <v>53750</v>
      </c>
      <c r="E64" s="46" t="s">
        <v>2389</v>
      </c>
      <c r="F64" s="26">
        <v>50.374139</v>
      </c>
      <c r="G64" s="26">
        <v>-3.4863765999999998</v>
      </c>
      <c r="H64" s="10" t="s">
        <v>1398</v>
      </c>
      <c r="I64" s="8" t="s">
        <v>1395</v>
      </c>
      <c r="J64" s="9">
        <v>30</v>
      </c>
      <c r="K64" s="11" t="s">
        <v>1405</v>
      </c>
      <c r="L64" s="11"/>
      <c r="M64" s="8" t="s">
        <v>1399</v>
      </c>
      <c r="N64" s="8" t="s">
        <v>1400</v>
      </c>
      <c r="O64" s="11">
        <f>12590-4720</f>
        <v>7870</v>
      </c>
      <c r="P64" s="22">
        <v>3</v>
      </c>
      <c r="Q64" s="12"/>
      <c r="R64" s="11"/>
      <c r="S64" s="8">
        <v>34</v>
      </c>
      <c r="T64" s="12"/>
      <c r="U64" s="11" t="s">
        <v>904</v>
      </c>
      <c r="V64" s="11" t="s">
        <v>594</v>
      </c>
      <c r="W64" s="11"/>
      <c r="X64" s="9"/>
      <c r="Y64" s="9"/>
      <c r="Z64" s="8" t="s">
        <v>1410</v>
      </c>
      <c r="AA64" s="9"/>
      <c r="AB64" s="9" t="s">
        <v>2347</v>
      </c>
      <c r="AC64" s="46" t="s">
        <v>2350</v>
      </c>
    </row>
    <row r="65" spans="1:29" s="30" customFormat="1" ht="33.75" customHeight="1">
      <c r="A65" s="9"/>
      <c r="B65" s="8" t="s">
        <v>207</v>
      </c>
      <c r="C65" s="26">
        <v>293680</v>
      </c>
      <c r="D65" s="26">
        <v>125300</v>
      </c>
      <c r="E65" s="46" t="s">
        <v>2389</v>
      </c>
      <c r="F65" s="26">
        <v>51.017215</v>
      </c>
      <c r="G65" s="26">
        <v>-3.5171142999999998</v>
      </c>
      <c r="H65" s="10" t="s">
        <v>1407</v>
      </c>
      <c r="I65" s="8" t="s">
        <v>1396</v>
      </c>
      <c r="J65" s="9">
        <v>120</v>
      </c>
      <c r="K65" s="11" t="s">
        <v>1406</v>
      </c>
      <c r="L65" s="11"/>
      <c r="M65" s="8" t="s">
        <v>1401</v>
      </c>
      <c r="N65" s="8" t="s">
        <v>1402</v>
      </c>
      <c r="O65" s="11">
        <f>9530-7540</f>
        <v>1990</v>
      </c>
      <c r="P65" s="22">
        <v>3</v>
      </c>
      <c r="Q65" s="12"/>
      <c r="R65" s="11"/>
      <c r="S65" s="8">
        <v>40</v>
      </c>
      <c r="T65" s="12"/>
      <c r="U65" s="11" t="s">
        <v>904</v>
      </c>
      <c r="V65" s="11" t="s">
        <v>594</v>
      </c>
      <c r="W65" s="11"/>
      <c r="X65" s="9"/>
      <c r="Y65" s="9"/>
      <c r="Z65" s="8" t="s">
        <v>1410</v>
      </c>
      <c r="AA65" s="9"/>
      <c r="AB65" s="9" t="s">
        <v>2347</v>
      </c>
      <c r="AC65" s="46" t="s">
        <v>2350</v>
      </c>
    </row>
    <row r="66" spans="1:29" ht="33.75" customHeight="1">
      <c r="A66" s="9"/>
      <c r="B66" s="14" t="s">
        <v>207</v>
      </c>
      <c r="C66" s="26">
        <v>283680</v>
      </c>
      <c r="D66" s="26">
        <v>136070</v>
      </c>
      <c r="E66" s="46" t="s">
        <v>2389</v>
      </c>
      <c r="F66" s="26">
        <v>51.112082000000001</v>
      </c>
      <c r="G66" s="26">
        <v>-3.6630834000000001</v>
      </c>
      <c r="H66" s="10" t="s">
        <v>1409</v>
      </c>
      <c r="I66" s="8" t="s">
        <v>1397</v>
      </c>
      <c r="J66" s="9">
        <v>240</v>
      </c>
      <c r="K66" s="11" t="s">
        <v>1408</v>
      </c>
      <c r="L66" s="11"/>
      <c r="M66" s="8" t="s">
        <v>1403</v>
      </c>
      <c r="N66" s="8" t="s">
        <v>1404</v>
      </c>
      <c r="O66" s="11">
        <f>8510-3700</f>
        <v>4810</v>
      </c>
      <c r="P66" s="22">
        <v>3</v>
      </c>
      <c r="Q66" s="12"/>
      <c r="R66" s="11"/>
      <c r="S66" s="8">
        <v>18</v>
      </c>
      <c r="T66" s="12"/>
      <c r="U66" s="15" t="s">
        <v>904</v>
      </c>
      <c r="V66" s="11" t="s">
        <v>594</v>
      </c>
      <c r="W66" s="11"/>
      <c r="X66" s="9"/>
      <c r="Y66" s="9"/>
      <c r="Z66" s="8" t="s">
        <v>1410</v>
      </c>
      <c r="AA66" s="9"/>
      <c r="AB66" s="9" t="s">
        <v>2347</v>
      </c>
      <c r="AC66" s="46" t="s">
        <v>2350</v>
      </c>
    </row>
    <row r="67" spans="1:29" ht="33.75" customHeight="1">
      <c r="A67" s="11">
        <v>89</v>
      </c>
      <c r="B67" s="8" t="s">
        <v>207</v>
      </c>
      <c r="C67" s="9">
        <v>359320</v>
      </c>
      <c r="D67" s="9">
        <v>186380</v>
      </c>
      <c r="E67" s="46" t="s">
        <v>2390</v>
      </c>
      <c r="F67" s="9">
        <v>51.574809000000002</v>
      </c>
      <c r="G67" s="9">
        <v>-2.5884010000000002</v>
      </c>
      <c r="H67" s="10" t="s">
        <v>426</v>
      </c>
      <c r="I67" s="8" t="s">
        <v>425</v>
      </c>
      <c r="J67" s="9">
        <v>5</v>
      </c>
      <c r="K67" s="11" t="s">
        <v>43</v>
      </c>
      <c r="L67" s="11" t="s">
        <v>2</v>
      </c>
      <c r="M67" s="8">
        <v>5603</v>
      </c>
      <c r="N67" s="8">
        <v>3816</v>
      </c>
      <c r="O67" s="11">
        <f>M67-N67</f>
        <v>1787</v>
      </c>
      <c r="P67" s="22">
        <v>8</v>
      </c>
      <c r="Q67" s="12">
        <f>P67/O67*1000</f>
        <v>4.4767767207610527</v>
      </c>
      <c r="R67" s="11"/>
      <c r="S67" s="8">
        <v>60</v>
      </c>
      <c r="T67" s="12">
        <f>S67/(O67/1000)</f>
        <v>33.575825405707889</v>
      </c>
      <c r="U67" s="11"/>
      <c r="V67" s="11"/>
      <c r="W67" s="11" t="s">
        <v>427</v>
      </c>
      <c r="X67" s="9" t="s">
        <v>415</v>
      </c>
      <c r="Y67" s="9" t="s">
        <v>100</v>
      </c>
      <c r="Z67" s="58" t="s">
        <v>428</v>
      </c>
      <c r="AA67" s="9"/>
      <c r="AB67" s="9" t="s">
        <v>2347</v>
      </c>
      <c r="AC67" s="46" t="s">
        <v>2350</v>
      </c>
    </row>
    <row r="68" spans="1:29" ht="33.75" customHeight="1">
      <c r="A68" s="11">
        <v>19</v>
      </c>
      <c r="B68" s="8" t="s">
        <v>110</v>
      </c>
      <c r="C68" s="26">
        <v>398200</v>
      </c>
      <c r="D68" s="26">
        <v>87900</v>
      </c>
      <c r="E68" s="46" t="s">
        <v>2391</v>
      </c>
      <c r="F68" s="26">
        <v>50.690747000000002</v>
      </c>
      <c r="G68" s="26">
        <v>-2.0268457</v>
      </c>
      <c r="H68" s="10" t="s">
        <v>281</v>
      </c>
      <c r="I68" s="8" t="s">
        <v>87</v>
      </c>
      <c r="J68" s="9">
        <v>1.2</v>
      </c>
      <c r="K68" s="11" t="s">
        <v>88</v>
      </c>
      <c r="L68" s="11" t="s">
        <v>1472</v>
      </c>
      <c r="M68" s="8" t="s">
        <v>1473</v>
      </c>
      <c r="N68" s="8"/>
      <c r="O68" s="11"/>
      <c r="P68" s="22">
        <v>1</v>
      </c>
      <c r="Q68" s="12"/>
      <c r="R68" s="11" t="s">
        <v>40</v>
      </c>
      <c r="S68" s="8">
        <v>33</v>
      </c>
      <c r="T68" s="12"/>
      <c r="U68" s="11"/>
      <c r="V68" s="11"/>
      <c r="W68" s="11" t="s">
        <v>24</v>
      </c>
      <c r="X68" s="9" t="s">
        <v>41</v>
      </c>
      <c r="Y68" s="9" t="s">
        <v>42</v>
      </c>
      <c r="Z68" s="8" t="s">
        <v>155</v>
      </c>
      <c r="AA68" s="9"/>
      <c r="AB68" s="9" t="s">
        <v>2347</v>
      </c>
      <c r="AC68" s="46" t="s">
        <v>2350</v>
      </c>
    </row>
    <row r="69" spans="1:29" ht="33.75" customHeight="1">
      <c r="A69" s="11">
        <v>1</v>
      </c>
      <c r="B69" s="8" t="s">
        <v>111</v>
      </c>
      <c r="C69" s="9">
        <v>630480</v>
      </c>
      <c r="D69" s="9">
        <v>143610</v>
      </c>
      <c r="E69" s="46" t="s">
        <v>2392</v>
      </c>
      <c r="F69" s="9">
        <v>51.141038999999999</v>
      </c>
      <c r="G69" s="9">
        <v>1.2863711</v>
      </c>
      <c r="H69" s="10" t="s">
        <v>272</v>
      </c>
      <c r="I69" s="8" t="s">
        <v>39</v>
      </c>
      <c r="J69" s="9">
        <v>22</v>
      </c>
      <c r="K69" s="11" t="s">
        <v>899</v>
      </c>
      <c r="L69" s="11" t="s">
        <v>2</v>
      </c>
      <c r="M69" s="8" t="s">
        <v>897</v>
      </c>
      <c r="N69" s="8" t="s">
        <v>1282</v>
      </c>
      <c r="O69" s="11">
        <f>9480-8023</f>
        <v>1457</v>
      </c>
      <c r="P69" s="22">
        <v>5</v>
      </c>
      <c r="Q69" s="12">
        <f>P69/O69*1000</f>
        <v>3.4317089910775569</v>
      </c>
      <c r="R69" s="11" t="s">
        <v>40</v>
      </c>
      <c r="S69" s="8">
        <v>23</v>
      </c>
      <c r="T69" s="12">
        <f t="shared" ref="T69:T78" si="2">S69/(O69/1000)</f>
        <v>15.78586135895676</v>
      </c>
      <c r="U69" s="11" t="s">
        <v>898</v>
      </c>
      <c r="V69" s="11" t="s">
        <v>594</v>
      </c>
      <c r="W69" s="11" t="s">
        <v>1</v>
      </c>
      <c r="X69" s="9" t="s">
        <v>41</v>
      </c>
      <c r="Y69" s="9" t="s">
        <v>42</v>
      </c>
      <c r="Z69" s="8" t="s">
        <v>146</v>
      </c>
      <c r="AA69" s="9"/>
      <c r="AB69" s="9" t="s">
        <v>2347</v>
      </c>
      <c r="AC69" s="46" t="s">
        <v>2350</v>
      </c>
    </row>
    <row r="70" spans="1:29" ht="33.75" customHeight="1">
      <c r="A70" s="11">
        <v>33</v>
      </c>
      <c r="B70" s="8" t="s">
        <v>118</v>
      </c>
      <c r="C70" s="9">
        <v>588720</v>
      </c>
      <c r="D70" s="9">
        <v>115730</v>
      </c>
      <c r="E70" s="46" t="s">
        <v>2393</v>
      </c>
      <c r="F70" s="26">
        <v>50.905855000000003</v>
      </c>
      <c r="G70" s="26">
        <v>0.67569360999999994</v>
      </c>
      <c r="H70" s="10" t="s">
        <v>291</v>
      </c>
      <c r="I70" s="8" t="s">
        <v>119</v>
      </c>
      <c r="J70" s="9">
        <v>3.5</v>
      </c>
      <c r="K70" s="11" t="s">
        <v>120</v>
      </c>
      <c r="L70" s="11" t="s">
        <v>121</v>
      </c>
      <c r="M70" s="8" t="s">
        <v>956</v>
      </c>
      <c r="N70" s="8" t="s">
        <v>957</v>
      </c>
      <c r="O70" s="11">
        <v>7290</v>
      </c>
      <c r="P70" s="22">
        <v>8</v>
      </c>
      <c r="Q70" s="12">
        <f t="shared" ref="Q70:Q78" si="3">P70/O70*1000</f>
        <v>1.0973936899862826</v>
      </c>
      <c r="R70" s="11" t="s">
        <v>40</v>
      </c>
      <c r="S70" s="8">
        <v>143</v>
      </c>
      <c r="T70" s="12">
        <f t="shared" si="2"/>
        <v>19.615912208504803</v>
      </c>
      <c r="U70" s="11"/>
      <c r="V70" s="11"/>
      <c r="W70" s="11" t="s">
        <v>37</v>
      </c>
      <c r="X70" s="9" t="s">
        <v>122</v>
      </c>
      <c r="Y70" s="9" t="s">
        <v>100</v>
      </c>
      <c r="Z70" s="8" t="s">
        <v>163</v>
      </c>
      <c r="AA70" s="9" t="s">
        <v>1543</v>
      </c>
      <c r="AB70" s="9" t="s">
        <v>2347</v>
      </c>
      <c r="AC70" s="46" t="s">
        <v>2350</v>
      </c>
    </row>
    <row r="71" spans="1:29" ht="33.75" customHeight="1">
      <c r="A71" s="11">
        <v>50</v>
      </c>
      <c r="B71" s="8" t="s">
        <v>118</v>
      </c>
      <c r="C71" s="26">
        <v>582900</v>
      </c>
      <c r="D71" s="26">
        <v>117500</v>
      </c>
      <c r="E71" s="46" t="s">
        <v>2394</v>
      </c>
      <c r="F71" s="26">
        <v>50.927954999999997</v>
      </c>
      <c r="G71" s="26">
        <v>0.60124865999999999</v>
      </c>
      <c r="H71" s="10" t="s">
        <v>192</v>
      </c>
      <c r="I71" s="8" t="s">
        <v>191</v>
      </c>
      <c r="J71" s="9" t="s">
        <v>6</v>
      </c>
      <c r="K71" s="11" t="s">
        <v>193</v>
      </c>
      <c r="L71" s="11" t="s">
        <v>2</v>
      </c>
      <c r="M71" s="8" t="s">
        <v>961</v>
      </c>
      <c r="N71" s="8" t="s">
        <v>962</v>
      </c>
      <c r="O71" s="11">
        <f>5970-3690</f>
        <v>2280</v>
      </c>
      <c r="P71" s="22">
        <v>2</v>
      </c>
      <c r="Q71" s="12">
        <f t="shared" si="3"/>
        <v>0.87719298245614041</v>
      </c>
      <c r="R71" s="11" t="s">
        <v>40</v>
      </c>
      <c r="S71" s="8">
        <v>90</v>
      </c>
      <c r="T71" s="12">
        <f t="shared" si="2"/>
        <v>39.473684210526322</v>
      </c>
      <c r="U71" s="11"/>
      <c r="V71" s="11"/>
      <c r="W71" s="11" t="s">
        <v>194</v>
      </c>
      <c r="X71" s="9" t="s">
        <v>195</v>
      </c>
      <c r="Y71" s="9" t="s">
        <v>43</v>
      </c>
      <c r="Z71" s="8" t="s">
        <v>196</v>
      </c>
      <c r="AA71" s="9" t="s">
        <v>1543</v>
      </c>
      <c r="AB71" s="9" t="s">
        <v>2347</v>
      </c>
      <c r="AC71" s="46" t="s">
        <v>2350</v>
      </c>
    </row>
    <row r="72" spans="1:29" ht="33.75" customHeight="1">
      <c r="A72" s="11">
        <v>74</v>
      </c>
      <c r="B72" s="8" t="s">
        <v>118</v>
      </c>
      <c r="C72" s="9">
        <v>544911</v>
      </c>
      <c r="D72" s="9">
        <v>108963</v>
      </c>
      <c r="E72" s="46" t="s">
        <v>2395</v>
      </c>
      <c r="F72" s="9">
        <v>50.857652000000002</v>
      </c>
      <c r="G72" s="9">
        <v>5.0417999999999998E-2</v>
      </c>
      <c r="H72" s="10" t="s">
        <v>358</v>
      </c>
      <c r="I72" s="8" t="s">
        <v>351</v>
      </c>
      <c r="J72" s="9">
        <v>3</v>
      </c>
      <c r="K72" s="11" t="s">
        <v>43</v>
      </c>
      <c r="L72" s="11" t="s">
        <v>2</v>
      </c>
      <c r="M72" s="8">
        <v>7217</v>
      </c>
      <c r="N72" s="8">
        <v>4081</v>
      </c>
      <c r="O72" s="11">
        <f>M72-N72</f>
        <v>3136</v>
      </c>
      <c r="P72" s="22">
        <v>4</v>
      </c>
      <c r="Q72" s="12">
        <f t="shared" si="3"/>
        <v>1.2755102040816326</v>
      </c>
      <c r="R72" s="11" t="s">
        <v>40</v>
      </c>
      <c r="S72" s="8">
        <v>60</v>
      </c>
      <c r="T72" s="12">
        <f t="shared" si="2"/>
        <v>19.132653061224488</v>
      </c>
      <c r="U72" s="11"/>
      <c r="V72" s="11"/>
      <c r="W72" s="11" t="s">
        <v>352</v>
      </c>
      <c r="X72" s="9" t="s">
        <v>249</v>
      </c>
      <c r="Y72" s="9" t="s">
        <v>43</v>
      </c>
      <c r="Z72" s="8" t="s">
        <v>353</v>
      </c>
      <c r="AA72" s="9"/>
      <c r="AB72" s="9" t="s">
        <v>2347</v>
      </c>
      <c r="AC72" s="46" t="s">
        <v>2350</v>
      </c>
    </row>
    <row r="73" spans="1:29" ht="33.75" customHeight="1">
      <c r="A73" s="11">
        <v>81</v>
      </c>
      <c r="B73" s="8" t="s">
        <v>118</v>
      </c>
      <c r="C73" s="26">
        <v>588200</v>
      </c>
      <c r="D73" s="26">
        <v>115200</v>
      </c>
      <c r="E73" s="46" t="s">
        <v>2396</v>
      </c>
      <c r="F73" s="26">
        <v>50.905591999999999</v>
      </c>
      <c r="G73" s="26">
        <v>0.67539402000000004</v>
      </c>
      <c r="H73" s="10" t="s">
        <v>378</v>
      </c>
      <c r="I73" s="8" t="s">
        <v>119</v>
      </c>
      <c r="J73" s="9">
        <v>5</v>
      </c>
      <c r="K73" s="11" t="s">
        <v>43</v>
      </c>
      <c r="L73" s="11" t="s">
        <v>383</v>
      </c>
      <c r="M73" s="8" t="s">
        <v>956</v>
      </c>
      <c r="N73" s="8" t="s">
        <v>957</v>
      </c>
      <c r="O73" s="11">
        <f>9960-2670</f>
        <v>7290</v>
      </c>
      <c r="P73" s="22">
        <v>8</v>
      </c>
      <c r="Q73" s="12">
        <f t="shared" si="3"/>
        <v>1.0973936899862826</v>
      </c>
      <c r="R73" s="11" t="s">
        <v>40</v>
      </c>
      <c r="S73" s="8">
        <v>140</v>
      </c>
      <c r="T73" s="12">
        <f t="shared" si="2"/>
        <v>19.204389574759944</v>
      </c>
      <c r="U73" s="11"/>
      <c r="V73" s="11" t="s">
        <v>594</v>
      </c>
      <c r="W73" s="11" t="s">
        <v>384</v>
      </c>
      <c r="X73" s="9" t="s">
        <v>376</v>
      </c>
      <c r="Y73" s="9" t="s">
        <v>100</v>
      </c>
      <c r="Z73" s="8" t="s">
        <v>385</v>
      </c>
      <c r="AA73" s="9"/>
      <c r="AB73" s="9" t="s">
        <v>2347</v>
      </c>
      <c r="AC73" s="46" t="s">
        <v>2350</v>
      </c>
    </row>
    <row r="74" spans="1:29" ht="33.75" customHeight="1">
      <c r="A74" s="11">
        <v>81</v>
      </c>
      <c r="B74" s="8" t="s">
        <v>118</v>
      </c>
      <c r="C74" s="26">
        <v>588300</v>
      </c>
      <c r="D74" s="26">
        <v>115100</v>
      </c>
      <c r="E74" s="46" t="s">
        <v>2396</v>
      </c>
      <c r="F74" s="26">
        <v>50.904660999999997</v>
      </c>
      <c r="G74" s="26">
        <v>0.67676312000000005</v>
      </c>
      <c r="H74" s="10" t="s">
        <v>379</v>
      </c>
      <c r="I74" s="8" t="s">
        <v>380</v>
      </c>
      <c r="J74" s="9">
        <v>5</v>
      </c>
      <c r="K74" s="11" t="s">
        <v>43</v>
      </c>
      <c r="L74" s="11" t="s">
        <v>383</v>
      </c>
      <c r="M74" s="8" t="s">
        <v>955</v>
      </c>
      <c r="N74" s="8" t="s">
        <v>958</v>
      </c>
      <c r="O74" s="11">
        <f>3510-376</f>
        <v>3134</v>
      </c>
      <c r="P74" s="22">
        <v>8</v>
      </c>
      <c r="Q74" s="12">
        <f t="shared" si="3"/>
        <v>2.5526483726866624</v>
      </c>
      <c r="R74" s="11" t="s">
        <v>40</v>
      </c>
      <c r="S74" s="8">
        <v>40</v>
      </c>
      <c r="T74" s="12">
        <f t="shared" si="2"/>
        <v>12.763241863433313</v>
      </c>
      <c r="U74" s="11" t="s">
        <v>904</v>
      </c>
      <c r="V74" s="11" t="s">
        <v>594</v>
      </c>
      <c r="W74" s="11" t="s">
        <v>384</v>
      </c>
      <c r="X74" s="9" t="s">
        <v>376</v>
      </c>
      <c r="Y74" s="9" t="s">
        <v>100</v>
      </c>
      <c r="Z74" s="8" t="s">
        <v>385</v>
      </c>
      <c r="AA74" s="9"/>
      <c r="AB74" s="9" t="s">
        <v>2347</v>
      </c>
      <c r="AC74" s="46" t="s">
        <v>2350</v>
      </c>
    </row>
    <row r="75" spans="1:29" ht="33.75" customHeight="1">
      <c r="A75" s="11">
        <v>81</v>
      </c>
      <c r="B75" s="8" t="s">
        <v>118</v>
      </c>
      <c r="C75" s="26">
        <v>590000</v>
      </c>
      <c r="D75" s="26">
        <v>116800</v>
      </c>
      <c r="E75" s="46" t="s">
        <v>2396</v>
      </c>
      <c r="F75" s="26">
        <v>50.919375000000002</v>
      </c>
      <c r="G75" s="26">
        <v>0.70179758000000003</v>
      </c>
      <c r="H75" s="10" t="s">
        <v>381</v>
      </c>
      <c r="I75" s="8" t="s">
        <v>382</v>
      </c>
      <c r="J75" s="9">
        <v>5</v>
      </c>
      <c r="K75" s="11" t="s">
        <v>43</v>
      </c>
      <c r="L75" s="11" t="s">
        <v>383</v>
      </c>
      <c r="M75" s="8" t="s">
        <v>959</v>
      </c>
      <c r="N75" s="8" t="s">
        <v>960</v>
      </c>
      <c r="O75" s="11">
        <f>4450-1842</f>
        <v>2608</v>
      </c>
      <c r="P75" s="22">
        <v>10</v>
      </c>
      <c r="Q75" s="12">
        <f t="shared" si="3"/>
        <v>3.834355828220859</v>
      </c>
      <c r="R75" s="11" t="s">
        <v>40</v>
      </c>
      <c r="S75" s="8">
        <v>20</v>
      </c>
      <c r="T75" s="12">
        <f t="shared" si="2"/>
        <v>7.6687116564417179</v>
      </c>
      <c r="U75" s="11"/>
      <c r="V75" s="11" t="s">
        <v>594</v>
      </c>
      <c r="W75" s="11" t="s">
        <v>384</v>
      </c>
      <c r="X75" s="9" t="s">
        <v>376</v>
      </c>
      <c r="Y75" s="9" t="s">
        <v>100</v>
      </c>
      <c r="Z75" s="8" t="s">
        <v>385</v>
      </c>
      <c r="AA75" s="9"/>
      <c r="AB75" s="9" t="s">
        <v>2347</v>
      </c>
      <c r="AC75" s="46" t="s">
        <v>2350</v>
      </c>
    </row>
    <row r="76" spans="1:29" ht="33.75" customHeight="1">
      <c r="A76" s="11">
        <v>92</v>
      </c>
      <c r="B76" s="8" t="s">
        <v>118</v>
      </c>
      <c r="C76" s="9">
        <v>588220</v>
      </c>
      <c r="D76" s="9">
        <v>115230</v>
      </c>
      <c r="E76" s="46" t="s">
        <v>2397</v>
      </c>
      <c r="F76" s="9">
        <v>50.905855000000003</v>
      </c>
      <c r="G76" s="9">
        <v>0.67569360999999994</v>
      </c>
      <c r="H76" s="10" t="s">
        <v>291</v>
      </c>
      <c r="I76" s="8" t="s">
        <v>119</v>
      </c>
      <c r="J76" s="9">
        <v>10</v>
      </c>
      <c r="K76" s="11" t="s">
        <v>43</v>
      </c>
      <c r="L76" s="11" t="s">
        <v>2</v>
      </c>
      <c r="M76" s="8">
        <v>11298</v>
      </c>
      <c r="N76" s="8">
        <v>2770</v>
      </c>
      <c r="O76" s="11">
        <f>M76-N76</f>
        <v>8528</v>
      </c>
      <c r="P76" s="22">
        <v>8</v>
      </c>
      <c r="Q76" s="12">
        <f t="shared" si="3"/>
        <v>0.93808630393996251</v>
      </c>
      <c r="R76" s="11" t="s">
        <v>40</v>
      </c>
      <c r="S76" s="8">
        <v>142</v>
      </c>
      <c r="T76" s="12">
        <f t="shared" si="2"/>
        <v>16.651031894934334</v>
      </c>
      <c r="U76" s="11"/>
      <c r="V76" s="11"/>
      <c r="W76" s="11" t="s">
        <v>446</v>
      </c>
      <c r="X76" s="9" t="s">
        <v>448</v>
      </c>
      <c r="Y76" s="9" t="s">
        <v>100</v>
      </c>
      <c r="Z76" s="8" t="s">
        <v>447</v>
      </c>
      <c r="AA76" s="9"/>
      <c r="AB76" s="9" t="s">
        <v>2347</v>
      </c>
      <c r="AC76" s="46" t="s">
        <v>2350</v>
      </c>
    </row>
    <row r="77" spans="1:29" ht="33.75" customHeight="1">
      <c r="A77" s="9">
        <v>92</v>
      </c>
      <c r="B77" s="8" t="s">
        <v>118</v>
      </c>
      <c r="C77" s="9">
        <v>598740</v>
      </c>
      <c r="D77" s="9">
        <v>121716</v>
      </c>
      <c r="E77" s="46" t="s">
        <v>2397</v>
      </c>
      <c r="F77" s="9">
        <v>50.960588999999999</v>
      </c>
      <c r="G77" s="9">
        <v>0.82866700000000004</v>
      </c>
      <c r="H77" s="9" t="s">
        <v>1284</v>
      </c>
      <c r="I77" s="8" t="s">
        <v>443</v>
      </c>
      <c r="J77" s="9">
        <v>0</v>
      </c>
      <c r="K77" s="11" t="s">
        <v>445</v>
      </c>
      <c r="L77" s="11" t="s">
        <v>2</v>
      </c>
      <c r="M77" s="8">
        <v>5020</v>
      </c>
      <c r="N77" s="8">
        <v>953</v>
      </c>
      <c r="O77" s="11">
        <f>M77-N77</f>
        <v>4067</v>
      </c>
      <c r="P77" s="22">
        <v>4</v>
      </c>
      <c r="Q77" s="12">
        <f t="shared" si="3"/>
        <v>0.98352594049668063</v>
      </c>
      <c r="R77" s="11" t="s">
        <v>40</v>
      </c>
      <c r="S77" s="8">
        <v>47</v>
      </c>
      <c r="T77" s="12">
        <f t="shared" si="2"/>
        <v>11.556429800835996</v>
      </c>
      <c r="U77" s="11"/>
      <c r="V77" s="11"/>
      <c r="W77" s="11" t="s">
        <v>446</v>
      </c>
      <c r="X77" s="9" t="s">
        <v>448</v>
      </c>
      <c r="Y77" s="9" t="s">
        <v>100</v>
      </c>
      <c r="Z77" s="8" t="s">
        <v>447</v>
      </c>
      <c r="AA77" s="9"/>
      <c r="AB77" s="9" t="s">
        <v>2347</v>
      </c>
      <c r="AC77" s="46" t="s">
        <v>2350</v>
      </c>
    </row>
    <row r="78" spans="1:29" ht="33.75" customHeight="1">
      <c r="A78" s="9">
        <v>92</v>
      </c>
      <c r="B78" s="8" t="s">
        <v>118</v>
      </c>
      <c r="C78" s="9">
        <v>602570</v>
      </c>
      <c r="D78" s="9">
        <v>117625</v>
      </c>
      <c r="E78" s="46" t="s">
        <v>2397</v>
      </c>
      <c r="F78" s="9">
        <v>50.922514999999997</v>
      </c>
      <c r="G78" s="9">
        <v>0.88085199999999997</v>
      </c>
      <c r="H78" s="9" t="s">
        <v>1285</v>
      </c>
      <c r="I78" s="8" t="s">
        <v>444</v>
      </c>
      <c r="J78" s="9">
        <v>0</v>
      </c>
      <c r="K78" s="11" t="s">
        <v>89</v>
      </c>
      <c r="L78" s="11" t="s">
        <v>2</v>
      </c>
      <c r="M78" s="8">
        <v>1955</v>
      </c>
      <c r="N78" s="8">
        <v>943</v>
      </c>
      <c r="O78" s="11">
        <f>M78-N78</f>
        <v>1012</v>
      </c>
      <c r="P78" s="22">
        <v>3</v>
      </c>
      <c r="Q78" s="12">
        <f t="shared" si="3"/>
        <v>2.9644268774703555</v>
      </c>
      <c r="R78" s="11" t="s">
        <v>40</v>
      </c>
      <c r="S78" s="8">
        <v>20</v>
      </c>
      <c r="T78" s="12">
        <f t="shared" si="2"/>
        <v>19.762845849802371</v>
      </c>
      <c r="U78" s="11"/>
      <c r="V78" s="11"/>
      <c r="W78" s="11" t="s">
        <v>446</v>
      </c>
      <c r="X78" s="9" t="s">
        <v>448</v>
      </c>
      <c r="Y78" s="9" t="s">
        <v>100</v>
      </c>
      <c r="Z78" s="8" t="s">
        <v>447</v>
      </c>
      <c r="AA78" s="9"/>
      <c r="AB78" s="9" t="s">
        <v>2347</v>
      </c>
      <c r="AC78" s="46" t="s">
        <v>2350</v>
      </c>
    </row>
    <row r="79" spans="1:29" ht="33.75" customHeight="1">
      <c r="A79" s="9"/>
      <c r="B79" s="8" t="s">
        <v>118</v>
      </c>
      <c r="C79" s="26">
        <v>540673</v>
      </c>
      <c r="D79" s="26">
        <v>109228</v>
      </c>
      <c r="E79" s="46" t="s">
        <v>2398</v>
      </c>
      <c r="F79" s="26">
        <v>50.865451</v>
      </c>
      <c r="G79" s="26">
        <v>-2.3648570000000002E-3</v>
      </c>
      <c r="H79" s="10" t="s">
        <v>1070</v>
      </c>
      <c r="I79" s="8" t="s">
        <v>1066</v>
      </c>
      <c r="J79" s="9">
        <v>10</v>
      </c>
      <c r="K79" s="11" t="s">
        <v>1069</v>
      </c>
      <c r="L79" s="11"/>
      <c r="M79" s="8">
        <v>4340</v>
      </c>
      <c r="N79" s="8"/>
      <c r="O79" s="11"/>
      <c r="P79" s="22">
        <v>1</v>
      </c>
      <c r="Q79" s="12"/>
      <c r="R79" s="11"/>
      <c r="S79" s="8">
        <v>25</v>
      </c>
      <c r="T79" s="12"/>
      <c r="U79" s="11" t="s">
        <v>1071</v>
      </c>
      <c r="V79" s="11" t="s">
        <v>594</v>
      </c>
      <c r="W79" s="11"/>
      <c r="X79" s="9"/>
      <c r="Y79" s="9"/>
      <c r="Z79" s="8" t="s">
        <v>1072</v>
      </c>
      <c r="AA79" s="9"/>
      <c r="AB79" s="9" t="s">
        <v>2347</v>
      </c>
      <c r="AC79" s="46" t="s">
        <v>2350</v>
      </c>
    </row>
    <row r="80" spans="1:29" ht="33.75" customHeight="1">
      <c r="A80" s="9"/>
      <c r="B80" s="8" t="s">
        <v>118</v>
      </c>
      <c r="C80" s="26">
        <v>540673</v>
      </c>
      <c r="D80" s="26">
        <v>109228</v>
      </c>
      <c r="E80" s="46" t="s">
        <v>2398</v>
      </c>
      <c r="F80" s="26">
        <v>50.865451</v>
      </c>
      <c r="G80" s="26">
        <v>-2.3648570000000002E-3</v>
      </c>
      <c r="H80" s="10" t="s">
        <v>1070</v>
      </c>
      <c r="I80" s="8" t="s">
        <v>1067</v>
      </c>
      <c r="J80" s="9">
        <v>10</v>
      </c>
      <c r="K80" s="11" t="s">
        <v>1068</v>
      </c>
      <c r="L80" s="11"/>
      <c r="M80" s="8">
        <v>3724</v>
      </c>
      <c r="N80" s="8">
        <v>1240</v>
      </c>
      <c r="O80" s="11">
        <f>M80-N80</f>
        <v>2484</v>
      </c>
      <c r="P80" s="22">
        <v>2</v>
      </c>
      <c r="Q80" s="12">
        <f>P80/O80*1000</f>
        <v>0.80515297906602257</v>
      </c>
      <c r="R80" s="11"/>
      <c r="S80" s="8">
        <v>42</v>
      </c>
      <c r="T80" s="12">
        <f>S80/(O80/1000)</f>
        <v>16.908212560386474</v>
      </c>
      <c r="U80" s="11" t="s">
        <v>1071</v>
      </c>
      <c r="V80" s="11" t="s">
        <v>594</v>
      </c>
      <c r="W80" s="11"/>
      <c r="X80" s="9"/>
      <c r="Y80" s="9"/>
      <c r="Z80" s="8" t="s">
        <v>1072</v>
      </c>
      <c r="AA80" s="9"/>
      <c r="AB80" s="9" t="s">
        <v>2347</v>
      </c>
      <c r="AC80" s="46" t="s">
        <v>2350</v>
      </c>
    </row>
    <row r="81" spans="1:29" ht="33.75" customHeight="1">
      <c r="A81" s="9"/>
      <c r="B81" s="8" t="s">
        <v>118</v>
      </c>
      <c r="C81" s="26">
        <v>592900</v>
      </c>
      <c r="D81" s="26">
        <v>120500</v>
      </c>
      <c r="E81" s="46" t="s">
        <v>2399</v>
      </c>
      <c r="F81" s="26">
        <v>50.951647000000001</v>
      </c>
      <c r="G81" s="26">
        <v>0.74496329999999999</v>
      </c>
      <c r="H81" s="10" t="s">
        <v>1464</v>
      </c>
      <c r="I81" s="8" t="s">
        <v>884</v>
      </c>
      <c r="J81" s="9">
        <v>2</v>
      </c>
      <c r="K81" s="11">
        <v>11</v>
      </c>
      <c r="L81" s="11"/>
      <c r="M81" s="8" t="s">
        <v>886</v>
      </c>
      <c r="N81" s="8"/>
      <c r="O81" s="11"/>
      <c r="P81" s="22">
        <v>1</v>
      </c>
      <c r="Q81" s="12"/>
      <c r="R81" s="11"/>
      <c r="S81" s="8">
        <v>7</v>
      </c>
      <c r="T81" s="12"/>
      <c r="U81" s="11" t="s">
        <v>857</v>
      </c>
      <c r="V81" s="11" t="s">
        <v>594</v>
      </c>
      <c r="W81" s="11"/>
      <c r="X81" s="9"/>
      <c r="Y81" s="9"/>
      <c r="Z81" s="8" t="s">
        <v>891</v>
      </c>
      <c r="AA81" s="9"/>
      <c r="AB81" s="9" t="s">
        <v>2347</v>
      </c>
      <c r="AC81" s="46" t="s">
        <v>2350</v>
      </c>
    </row>
    <row r="82" spans="1:29" ht="33.75" customHeight="1">
      <c r="A82" s="9"/>
      <c r="B82" s="8" t="s">
        <v>118</v>
      </c>
      <c r="C82" s="26">
        <v>594800</v>
      </c>
      <c r="D82" s="26">
        <v>122700</v>
      </c>
      <c r="E82" s="46" t="s">
        <v>2399</v>
      </c>
      <c r="F82" s="26">
        <v>50.970768</v>
      </c>
      <c r="G82" s="26">
        <v>0.77315690999999998</v>
      </c>
      <c r="H82" s="10" t="s">
        <v>890</v>
      </c>
      <c r="I82" s="8" t="s">
        <v>884</v>
      </c>
      <c r="J82" s="9">
        <v>2</v>
      </c>
      <c r="K82" s="11">
        <v>31</v>
      </c>
      <c r="L82" s="11"/>
      <c r="M82" s="8" t="s">
        <v>887</v>
      </c>
      <c r="N82" s="8"/>
      <c r="O82" s="11"/>
      <c r="P82" s="22">
        <v>1</v>
      </c>
      <c r="Q82" s="12"/>
      <c r="R82" s="11"/>
      <c r="S82" s="8">
        <v>6</v>
      </c>
      <c r="T82" s="12"/>
      <c r="U82" s="11" t="s">
        <v>857</v>
      </c>
      <c r="V82" s="11" t="s">
        <v>594</v>
      </c>
      <c r="W82" s="11"/>
      <c r="X82" s="9"/>
      <c r="Y82" s="9"/>
      <c r="Z82" s="8" t="s">
        <v>891</v>
      </c>
      <c r="AA82" s="9"/>
      <c r="AB82" s="9" t="s">
        <v>2347</v>
      </c>
      <c r="AC82" s="46" t="s">
        <v>2350</v>
      </c>
    </row>
    <row r="83" spans="1:29" ht="33.75" customHeight="1">
      <c r="A83" s="9"/>
      <c r="B83" s="8" t="s">
        <v>118</v>
      </c>
      <c r="C83" s="26">
        <v>595700</v>
      </c>
      <c r="D83" s="26">
        <v>122800</v>
      </c>
      <c r="E83" s="46" t="s">
        <v>2399</v>
      </c>
      <c r="F83" s="26">
        <v>50.971361999999999</v>
      </c>
      <c r="G83" s="26">
        <v>0.78601317999999998</v>
      </c>
      <c r="H83" s="10" t="s">
        <v>1466</v>
      </c>
      <c r="I83" s="8" t="s">
        <v>884</v>
      </c>
      <c r="J83" s="9">
        <v>2</v>
      </c>
      <c r="K83" s="11" t="s">
        <v>885</v>
      </c>
      <c r="L83" s="11"/>
      <c r="M83" s="8" t="s">
        <v>888</v>
      </c>
      <c r="N83" s="8"/>
      <c r="O83" s="11"/>
      <c r="P83" s="22">
        <v>1</v>
      </c>
      <c r="Q83" s="12"/>
      <c r="R83" s="11"/>
      <c r="S83" s="8">
        <v>6</v>
      </c>
      <c r="T83" s="12"/>
      <c r="U83" s="11" t="s">
        <v>857</v>
      </c>
      <c r="V83" s="11" t="s">
        <v>594</v>
      </c>
      <c r="W83" s="11"/>
      <c r="X83" s="9"/>
      <c r="Y83" s="9"/>
      <c r="Z83" s="8" t="s">
        <v>891</v>
      </c>
      <c r="AA83" s="9"/>
      <c r="AB83" s="9" t="s">
        <v>2347</v>
      </c>
      <c r="AC83" s="46" t="s">
        <v>2350</v>
      </c>
    </row>
    <row r="84" spans="1:29" ht="33.75" customHeight="1">
      <c r="A84" s="9"/>
      <c r="B84" s="8" t="s">
        <v>118</v>
      </c>
      <c r="C84" s="26">
        <v>593300</v>
      </c>
      <c r="D84" s="26">
        <v>121400</v>
      </c>
      <c r="E84" s="46" t="s">
        <v>2399</v>
      </c>
      <c r="F84" s="26">
        <v>50.959597000000002</v>
      </c>
      <c r="G84" s="26">
        <v>0.75112869999999998</v>
      </c>
      <c r="H84" s="10" t="s">
        <v>1465</v>
      </c>
      <c r="I84" s="8" t="s">
        <v>884</v>
      </c>
      <c r="J84" s="9">
        <v>2</v>
      </c>
      <c r="K84" s="11">
        <v>27</v>
      </c>
      <c r="L84" s="11"/>
      <c r="M84" s="8" t="s">
        <v>889</v>
      </c>
      <c r="N84" s="8"/>
      <c r="O84" s="11"/>
      <c r="P84" s="22">
        <v>1</v>
      </c>
      <c r="Q84" s="12"/>
      <c r="R84" s="11"/>
      <c r="S84" s="8">
        <v>6</v>
      </c>
      <c r="T84" s="12"/>
      <c r="U84" s="11" t="s">
        <v>857</v>
      </c>
      <c r="V84" s="11" t="s">
        <v>594</v>
      </c>
      <c r="W84" s="11"/>
      <c r="X84" s="9"/>
      <c r="Y84" s="9"/>
      <c r="Z84" s="8" t="s">
        <v>891</v>
      </c>
      <c r="AA84" s="9"/>
      <c r="AB84" s="9" t="s">
        <v>2347</v>
      </c>
      <c r="AC84" s="46" t="s">
        <v>2350</v>
      </c>
    </row>
    <row r="85" spans="1:29" ht="33.75" customHeight="1">
      <c r="A85" s="50"/>
      <c r="B85" s="8" t="s">
        <v>118</v>
      </c>
      <c r="C85" s="26">
        <v>592900</v>
      </c>
      <c r="D85" s="26">
        <v>120500</v>
      </c>
      <c r="E85" s="46" t="s">
        <v>2399</v>
      </c>
      <c r="F85" s="26">
        <v>50.951647000000001</v>
      </c>
      <c r="G85" s="26">
        <v>0.74496329999999999</v>
      </c>
      <c r="H85" s="10" t="s">
        <v>1464</v>
      </c>
      <c r="I85" s="8" t="s">
        <v>884</v>
      </c>
      <c r="J85" s="9">
        <v>2</v>
      </c>
      <c r="K85" s="11">
        <v>15</v>
      </c>
      <c r="L85" s="11"/>
      <c r="M85" s="8"/>
      <c r="N85" s="8"/>
      <c r="O85" s="11"/>
      <c r="P85" s="22">
        <v>0</v>
      </c>
      <c r="Q85" s="12"/>
      <c r="R85" s="11"/>
      <c r="S85" s="8">
        <v>4</v>
      </c>
      <c r="T85" s="12"/>
      <c r="U85" s="11" t="s">
        <v>857</v>
      </c>
      <c r="V85" s="11" t="s">
        <v>594</v>
      </c>
      <c r="W85" s="11"/>
      <c r="X85" s="9"/>
      <c r="Y85" s="9"/>
      <c r="Z85" s="8" t="s">
        <v>891</v>
      </c>
      <c r="AA85" s="9"/>
      <c r="AB85" s="9" t="s">
        <v>2347</v>
      </c>
      <c r="AC85" s="46" t="s">
        <v>2350</v>
      </c>
    </row>
    <row r="86" spans="1:29" ht="33.75" customHeight="1">
      <c r="A86" s="50">
        <v>62</v>
      </c>
      <c r="B86" s="8" t="s">
        <v>1735</v>
      </c>
      <c r="C86" s="9">
        <v>527900</v>
      </c>
      <c r="D86" s="9">
        <v>429300</v>
      </c>
      <c r="E86" s="46" t="s">
        <v>2400</v>
      </c>
      <c r="F86" s="26">
        <v>53.740023999999998</v>
      </c>
      <c r="G86" s="26">
        <v>-6.9873505000000002E-2</v>
      </c>
      <c r="H86" s="10" t="s">
        <v>298</v>
      </c>
      <c r="I86" s="8" t="s">
        <v>240</v>
      </c>
      <c r="J86" s="9">
        <v>5</v>
      </c>
      <c r="K86" s="11" t="s">
        <v>43</v>
      </c>
      <c r="L86" s="11" t="s">
        <v>2</v>
      </c>
      <c r="M86" s="8">
        <v>13045</v>
      </c>
      <c r="N86" s="8">
        <v>10120</v>
      </c>
      <c r="O86" s="11">
        <f>M86-N86</f>
        <v>2925</v>
      </c>
      <c r="P86" s="22">
        <v>5</v>
      </c>
      <c r="Q86" s="12">
        <f>P86/O86*1000</f>
        <v>1.7094017094017093</v>
      </c>
      <c r="R86" s="11" t="s">
        <v>40</v>
      </c>
      <c r="S86" s="8">
        <v>25</v>
      </c>
      <c r="T86" s="12">
        <f>S86/(O86/1000)</f>
        <v>8.5470085470085468</v>
      </c>
      <c r="U86" s="11"/>
      <c r="V86" s="11"/>
      <c r="W86" s="11" t="s">
        <v>242</v>
      </c>
      <c r="X86" s="9" t="s">
        <v>239</v>
      </c>
      <c r="Y86" s="9" t="s">
        <v>43</v>
      </c>
      <c r="Z86" s="8" t="s">
        <v>243</v>
      </c>
      <c r="AA86" s="9"/>
      <c r="AB86" s="9" t="s">
        <v>2347</v>
      </c>
      <c r="AC86" s="46" t="s">
        <v>2350</v>
      </c>
    </row>
    <row r="87" spans="1:29" ht="33.75" customHeight="1">
      <c r="A87" s="50">
        <v>20</v>
      </c>
      <c r="B87" s="8" t="s">
        <v>1735</v>
      </c>
      <c r="C87" s="26">
        <v>483900</v>
      </c>
      <c r="D87" s="26">
        <v>432100</v>
      </c>
      <c r="E87" s="50" t="s">
        <v>2401</v>
      </c>
      <c r="F87" s="26">
        <v>53.778481999999997</v>
      </c>
      <c r="G87" s="26">
        <v>-0.72828868999999996</v>
      </c>
      <c r="H87" s="10" t="s">
        <v>282</v>
      </c>
      <c r="I87" s="8" t="s">
        <v>131</v>
      </c>
      <c r="J87" s="11">
        <v>-2</v>
      </c>
      <c r="K87" s="11" t="s">
        <v>132</v>
      </c>
      <c r="L87" s="11" t="s">
        <v>2</v>
      </c>
      <c r="M87" s="8" t="s">
        <v>1475</v>
      </c>
      <c r="N87" s="8"/>
      <c r="O87" s="11"/>
      <c r="P87" s="22">
        <v>1</v>
      </c>
      <c r="Q87" s="12"/>
      <c r="R87" s="11"/>
      <c r="S87" s="8">
        <v>11</v>
      </c>
      <c r="T87" s="12"/>
      <c r="U87" s="11" t="s">
        <v>1474</v>
      </c>
      <c r="V87" s="11"/>
      <c r="W87" s="11" t="s">
        <v>25</v>
      </c>
      <c r="X87" s="11" t="s">
        <v>41</v>
      </c>
      <c r="Y87" s="11" t="s">
        <v>42</v>
      </c>
      <c r="Z87" s="8" t="s">
        <v>618</v>
      </c>
      <c r="AA87" s="11"/>
      <c r="AB87" s="9" t="s">
        <v>2347</v>
      </c>
      <c r="AC87" s="46" t="s">
        <v>2350</v>
      </c>
    </row>
    <row r="88" spans="1:29" ht="33.75" customHeight="1">
      <c r="A88" s="50">
        <v>20</v>
      </c>
      <c r="B88" s="8" t="s">
        <v>1735</v>
      </c>
      <c r="C88" s="26">
        <v>483900</v>
      </c>
      <c r="D88" s="26">
        <v>432130</v>
      </c>
      <c r="E88" s="50" t="s">
        <v>2401</v>
      </c>
      <c r="F88" s="26">
        <v>53.778751</v>
      </c>
      <c r="G88" s="26">
        <v>-0.72828053999999998</v>
      </c>
      <c r="H88" s="10" t="s">
        <v>283</v>
      </c>
      <c r="I88" s="8" t="s">
        <v>131</v>
      </c>
      <c r="J88" s="11">
        <v>-2</v>
      </c>
      <c r="K88" s="11" t="s">
        <v>133</v>
      </c>
      <c r="L88" s="11" t="s">
        <v>2</v>
      </c>
      <c r="M88" s="8" t="s">
        <v>1476</v>
      </c>
      <c r="N88" s="8"/>
      <c r="O88" s="11"/>
      <c r="P88" s="22">
        <v>1</v>
      </c>
      <c r="Q88" s="12"/>
      <c r="R88" s="11"/>
      <c r="S88" s="8">
        <v>7</v>
      </c>
      <c r="T88" s="12"/>
      <c r="U88" s="11"/>
      <c r="V88" s="11"/>
      <c r="W88" s="11" t="s">
        <v>25</v>
      </c>
      <c r="X88" s="11" t="s">
        <v>41</v>
      </c>
      <c r="Y88" s="11" t="s">
        <v>42</v>
      </c>
      <c r="Z88" s="8" t="s">
        <v>618</v>
      </c>
      <c r="AA88" s="11"/>
      <c r="AB88" s="9" t="s">
        <v>2347</v>
      </c>
      <c r="AC88" s="46" t="s">
        <v>2350</v>
      </c>
    </row>
    <row r="89" spans="1:29" ht="33.75" customHeight="1">
      <c r="A89" s="50">
        <v>20</v>
      </c>
      <c r="B89" s="8" t="s">
        <v>1735</v>
      </c>
      <c r="C89" s="26">
        <v>497400</v>
      </c>
      <c r="D89" s="26">
        <v>424750</v>
      </c>
      <c r="E89" s="50" t="s">
        <v>2401</v>
      </c>
      <c r="F89" s="26">
        <v>53.710093999999998</v>
      </c>
      <c r="G89" s="26">
        <v>-0.52580764000000002</v>
      </c>
      <c r="H89" s="10" t="s">
        <v>284</v>
      </c>
      <c r="I89" s="8" t="s">
        <v>134</v>
      </c>
      <c r="J89" s="11">
        <v>-2</v>
      </c>
      <c r="K89" s="11">
        <v>1</v>
      </c>
      <c r="L89" s="11" t="s">
        <v>2</v>
      </c>
      <c r="M89" s="8" t="s">
        <v>1477</v>
      </c>
      <c r="N89" s="8" t="s">
        <v>1478</v>
      </c>
      <c r="O89" s="11">
        <v>130</v>
      </c>
      <c r="P89" s="22">
        <v>2</v>
      </c>
      <c r="Q89" s="12">
        <f>P89/O89*1000</f>
        <v>15.384615384615385</v>
      </c>
      <c r="R89" s="11"/>
      <c r="S89" s="8">
        <v>14</v>
      </c>
      <c r="T89" s="12">
        <f>S89/(O89/1000)</f>
        <v>107.69230769230769</v>
      </c>
      <c r="U89" s="11"/>
      <c r="V89" s="11"/>
      <c r="W89" s="11" t="s">
        <v>25</v>
      </c>
      <c r="X89" s="11" t="s">
        <v>41</v>
      </c>
      <c r="Y89" s="11" t="s">
        <v>42</v>
      </c>
      <c r="Z89" s="8" t="s">
        <v>618</v>
      </c>
      <c r="AA89" s="11"/>
      <c r="AB89" s="9" t="s">
        <v>2347</v>
      </c>
      <c r="AC89" s="46" t="s">
        <v>2350</v>
      </c>
    </row>
    <row r="90" spans="1:29" ht="33.75" customHeight="1">
      <c r="A90" s="50">
        <v>20</v>
      </c>
      <c r="B90" s="8" t="s">
        <v>1735</v>
      </c>
      <c r="C90" s="26">
        <v>497400</v>
      </c>
      <c r="D90" s="26">
        <v>424750</v>
      </c>
      <c r="E90" s="50" t="s">
        <v>2401</v>
      </c>
      <c r="F90" s="26">
        <v>53.710093999999998</v>
      </c>
      <c r="G90" s="26">
        <v>-0.52580764000000002</v>
      </c>
      <c r="H90" s="10" t="s">
        <v>284</v>
      </c>
      <c r="I90" s="8" t="s">
        <v>134</v>
      </c>
      <c r="J90" s="11">
        <v>-2</v>
      </c>
      <c r="K90" s="11">
        <v>2</v>
      </c>
      <c r="L90" s="11" t="s">
        <v>32</v>
      </c>
      <c r="M90" s="8">
        <v>3640</v>
      </c>
      <c r="N90" s="8" t="s">
        <v>6</v>
      </c>
      <c r="O90" s="11"/>
      <c r="P90" s="22">
        <v>1</v>
      </c>
      <c r="Q90" s="12"/>
      <c r="R90" s="11"/>
      <c r="S90" s="8">
        <v>7</v>
      </c>
      <c r="T90" s="12"/>
      <c r="U90" s="11"/>
      <c r="V90" s="11"/>
      <c r="W90" s="11" t="s">
        <v>25</v>
      </c>
      <c r="X90" s="11" t="s">
        <v>41</v>
      </c>
      <c r="Y90" s="11" t="s">
        <v>42</v>
      </c>
      <c r="Z90" s="8" t="s">
        <v>618</v>
      </c>
      <c r="AA90" s="11"/>
      <c r="AB90" s="9" t="s">
        <v>2347</v>
      </c>
      <c r="AC90" s="46" t="s">
        <v>2350</v>
      </c>
    </row>
    <row r="91" spans="1:29" ht="33.75" customHeight="1">
      <c r="A91" s="50">
        <v>20</v>
      </c>
      <c r="B91" s="8" t="s">
        <v>1735</v>
      </c>
      <c r="C91" s="26">
        <v>542300</v>
      </c>
      <c r="D91" s="26">
        <v>414700</v>
      </c>
      <c r="E91" s="50" t="s">
        <v>2401</v>
      </c>
      <c r="F91" s="26">
        <v>53.609532000000002</v>
      </c>
      <c r="G91" s="26">
        <v>0.14941177</v>
      </c>
      <c r="H91" s="10" t="s">
        <v>287</v>
      </c>
      <c r="I91" s="8" t="s">
        <v>137</v>
      </c>
      <c r="J91" s="11">
        <v>-2</v>
      </c>
      <c r="K91" s="11" t="s">
        <v>43</v>
      </c>
      <c r="L91" s="11" t="s">
        <v>139</v>
      </c>
      <c r="M91" s="8" t="s">
        <v>1484</v>
      </c>
      <c r="N91" s="8" t="s">
        <v>1485</v>
      </c>
      <c r="O91" s="11">
        <v>178</v>
      </c>
      <c r="P91" s="22">
        <v>2</v>
      </c>
      <c r="Q91" s="12">
        <f>P91/O91*1000</f>
        <v>11.235955056179774</v>
      </c>
      <c r="R91" s="11"/>
      <c r="S91" s="8">
        <v>13</v>
      </c>
      <c r="T91" s="12">
        <f>S91/(O91/1000)</f>
        <v>73.033707865168537</v>
      </c>
      <c r="U91" s="11"/>
      <c r="V91" s="11"/>
      <c r="W91" s="11" t="s">
        <v>25</v>
      </c>
      <c r="X91" s="11" t="s">
        <v>41</v>
      </c>
      <c r="Y91" s="11" t="s">
        <v>42</v>
      </c>
      <c r="Z91" s="8" t="s">
        <v>618</v>
      </c>
      <c r="AA91" s="11"/>
      <c r="AB91" s="9" t="s">
        <v>2347</v>
      </c>
      <c r="AC91" s="46" t="s">
        <v>2350</v>
      </c>
    </row>
    <row r="92" spans="1:29" ht="33.75" customHeight="1">
      <c r="A92" s="50">
        <v>91</v>
      </c>
      <c r="B92" s="8" t="s">
        <v>1735</v>
      </c>
      <c r="C92" s="9">
        <v>525700</v>
      </c>
      <c r="D92" s="9">
        <v>417600</v>
      </c>
      <c r="E92" s="46" t="s">
        <v>2402</v>
      </c>
      <c r="F92" s="9">
        <v>53.639825000000002</v>
      </c>
      <c r="G92" s="9">
        <v>-0.10016833999999999</v>
      </c>
      <c r="H92" s="10" t="s">
        <v>438</v>
      </c>
      <c r="I92" s="8" t="s">
        <v>434</v>
      </c>
      <c r="J92" s="9">
        <v>3.7</v>
      </c>
      <c r="K92" s="11" t="s">
        <v>435</v>
      </c>
      <c r="L92" s="11" t="s">
        <v>439</v>
      </c>
      <c r="M92" s="8">
        <v>9646</v>
      </c>
      <c r="N92" s="8">
        <v>7806</v>
      </c>
      <c r="O92" s="11">
        <f>M92-N92</f>
        <v>1840</v>
      </c>
      <c r="P92" s="22">
        <v>2</v>
      </c>
      <c r="Q92" s="12">
        <f>P92/O92*1000</f>
        <v>1.0869565217391304</v>
      </c>
      <c r="R92" s="11"/>
      <c r="S92" s="8">
        <v>8</v>
      </c>
      <c r="T92" s="12">
        <f>S92/(O92/1000)</f>
        <v>4.3478260869565215</v>
      </c>
      <c r="U92" s="11"/>
      <c r="V92" s="11"/>
      <c r="W92" s="11" t="s">
        <v>440</v>
      </c>
      <c r="X92" s="9" t="s">
        <v>442</v>
      </c>
      <c r="Y92" s="9" t="s">
        <v>100</v>
      </c>
      <c r="Z92" s="8" t="s">
        <v>441</v>
      </c>
      <c r="AA92" s="9"/>
      <c r="AB92" s="9" t="s">
        <v>2347</v>
      </c>
      <c r="AC92" s="46" t="s">
        <v>2350</v>
      </c>
    </row>
    <row r="93" spans="1:29" ht="33.75" customHeight="1">
      <c r="A93" s="50">
        <v>79</v>
      </c>
      <c r="B93" s="8" t="s">
        <v>1735</v>
      </c>
      <c r="C93" s="9">
        <v>512600</v>
      </c>
      <c r="D93" s="9">
        <v>467600</v>
      </c>
      <c r="E93" s="46" t="s">
        <v>2403</v>
      </c>
      <c r="F93" s="9">
        <v>54.091996000000002</v>
      </c>
      <c r="G93" s="9">
        <v>-0.27988148000000002</v>
      </c>
      <c r="H93" s="10" t="s">
        <v>371</v>
      </c>
      <c r="I93" s="8" t="s">
        <v>186</v>
      </c>
      <c r="J93" s="9">
        <v>18</v>
      </c>
      <c r="K93" s="11" t="s">
        <v>43</v>
      </c>
      <c r="L93" s="11" t="s">
        <v>2</v>
      </c>
      <c r="M93" s="8">
        <v>9460</v>
      </c>
      <c r="N93" s="8">
        <v>110</v>
      </c>
      <c r="O93" s="11">
        <f>M93-N93</f>
        <v>9350</v>
      </c>
      <c r="P93" s="22">
        <v>10</v>
      </c>
      <c r="Q93" s="12">
        <f>P93/O93*1000</f>
        <v>1.0695187165775402</v>
      </c>
      <c r="R93" s="11" t="s">
        <v>40</v>
      </c>
      <c r="S93" s="8">
        <v>58</v>
      </c>
      <c r="T93" s="12">
        <f>S93/(O93/1000)</f>
        <v>6.2032085561497325</v>
      </c>
      <c r="U93" s="11"/>
      <c r="V93" s="11"/>
      <c r="W93" s="11" t="s">
        <v>355</v>
      </c>
      <c r="X93" s="9" t="s">
        <v>362</v>
      </c>
      <c r="Y93" s="9" t="s">
        <v>43</v>
      </c>
      <c r="Z93" s="8" t="s">
        <v>372</v>
      </c>
      <c r="AA93" s="9"/>
      <c r="AB93" s="9" t="s">
        <v>2347</v>
      </c>
      <c r="AC93" s="46" t="s">
        <v>2350</v>
      </c>
    </row>
    <row r="94" spans="1:29" ht="33.75" customHeight="1">
      <c r="A94" s="51">
        <v>84</v>
      </c>
      <c r="B94" s="25" t="s">
        <v>399</v>
      </c>
      <c r="C94" s="26">
        <v>587600</v>
      </c>
      <c r="D94" s="26">
        <v>227900</v>
      </c>
      <c r="E94" s="26" t="s">
        <v>606</v>
      </c>
      <c r="F94" s="26">
        <v>51.918017735900001</v>
      </c>
      <c r="G94" s="26">
        <v>0.72645808812699997</v>
      </c>
      <c r="H94" s="27" t="s">
        <v>608</v>
      </c>
      <c r="I94" s="8" t="s">
        <v>609</v>
      </c>
      <c r="J94" s="26">
        <v>53</v>
      </c>
      <c r="K94" s="26"/>
      <c r="L94" s="11" t="s">
        <v>2</v>
      </c>
      <c r="M94" s="25">
        <v>52</v>
      </c>
      <c r="N94" s="25">
        <v>0</v>
      </c>
      <c r="O94" s="28">
        <f>M94-N94</f>
        <v>52</v>
      </c>
      <c r="P94" s="29">
        <v>14</v>
      </c>
      <c r="Q94" s="12">
        <f>P94/O94*1000</f>
        <v>269.23076923076923</v>
      </c>
      <c r="R94" s="26" t="s">
        <v>599</v>
      </c>
      <c r="S94" s="25">
        <v>43</v>
      </c>
      <c r="T94" s="12">
        <f>S94/(O94/1000)</f>
        <v>826.92307692307691</v>
      </c>
      <c r="U94" s="28" t="s">
        <v>592</v>
      </c>
      <c r="V94" s="28" t="s">
        <v>594</v>
      </c>
      <c r="W94" s="9" t="s">
        <v>400</v>
      </c>
      <c r="X94" s="9" t="s">
        <v>401</v>
      </c>
      <c r="Y94" s="26" t="s">
        <v>100</v>
      </c>
      <c r="Z94" s="8" t="s">
        <v>402</v>
      </c>
      <c r="AA94" s="26"/>
      <c r="AB94" s="9" t="s">
        <v>2347</v>
      </c>
      <c r="AC94" s="46" t="s">
        <v>2350</v>
      </c>
    </row>
    <row r="95" spans="1:29" ht="33.75" customHeight="1">
      <c r="A95" s="50"/>
      <c r="B95" s="8" t="s">
        <v>399</v>
      </c>
      <c r="C95" s="26">
        <v>543200</v>
      </c>
      <c r="D95" s="26">
        <v>199900</v>
      </c>
      <c r="E95" s="46" t="s">
        <v>2404</v>
      </c>
      <c r="F95" s="26">
        <v>51.679614999999998</v>
      </c>
      <c r="G95" s="26">
        <v>6.9817599999999994E-2</v>
      </c>
      <c r="H95" s="10" t="s">
        <v>584</v>
      </c>
      <c r="I95" s="8" t="s">
        <v>585</v>
      </c>
      <c r="J95" s="9">
        <v>117</v>
      </c>
      <c r="K95" s="11"/>
      <c r="L95" s="11" t="s">
        <v>2</v>
      </c>
      <c r="M95" s="8" t="s">
        <v>1281</v>
      </c>
      <c r="N95" s="8" t="s">
        <v>755</v>
      </c>
      <c r="O95" s="11">
        <f>4290-1110</f>
        <v>3180</v>
      </c>
      <c r="P95" s="22">
        <v>3</v>
      </c>
      <c r="Q95" s="12">
        <f>P95/O95*1000</f>
        <v>0.94339622641509435</v>
      </c>
      <c r="R95" s="11"/>
      <c r="S95" s="8">
        <v>21</v>
      </c>
      <c r="T95" s="12">
        <f>S95/(O95/1000)</f>
        <v>6.6037735849056602</v>
      </c>
      <c r="U95" s="11">
        <v>150</v>
      </c>
      <c r="V95" s="11" t="s">
        <v>594</v>
      </c>
      <c r="W95" s="11" t="s">
        <v>657</v>
      </c>
      <c r="X95" s="9"/>
      <c r="Y95" s="9"/>
      <c r="Z95" s="8" t="s">
        <v>586</v>
      </c>
      <c r="AA95" s="9"/>
      <c r="AB95" s="9" t="s">
        <v>2347</v>
      </c>
      <c r="AC95" s="46" t="s">
        <v>2350</v>
      </c>
    </row>
    <row r="96" spans="1:29" ht="33.75" customHeight="1">
      <c r="A96" s="9"/>
      <c r="B96" s="8" t="s">
        <v>399</v>
      </c>
      <c r="C96" s="26">
        <v>545838</v>
      </c>
      <c r="D96" s="26">
        <v>188195</v>
      </c>
      <c r="E96" s="46" t="s">
        <v>2405</v>
      </c>
      <c r="F96" s="26">
        <v>51.573765000000002</v>
      </c>
      <c r="G96" s="26">
        <v>0.10307578000000001</v>
      </c>
      <c r="H96" s="10" t="s">
        <v>1171</v>
      </c>
      <c r="I96" s="8" t="s">
        <v>1169</v>
      </c>
      <c r="J96" s="9">
        <v>12.8</v>
      </c>
      <c r="K96" s="11" t="s">
        <v>1172</v>
      </c>
      <c r="L96" s="11"/>
      <c r="M96" s="8"/>
      <c r="N96" s="8"/>
      <c r="O96" s="11"/>
      <c r="P96" s="22">
        <v>0</v>
      </c>
      <c r="Q96" s="12"/>
      <c r="R96" s="11"/>
      <c r="S96" s="8">
        <v>35</v>
      </c>
      <c r="T96" s="12"/>
      <c r="U96" s="11" t="s">
        <v>1170</v>
      </c>
      <c r="V96" s="11"/>
      <c r="W96" s="11"/>
      <c r="X96" s="9"/>
      <c r="Y96" s="9"/>
      <c r="Z96" s="8" t="s">
        <v>1173</v>
      </c>
      <c r="AA96" s="9"/>
      <c r="AB96" s="9" t="s">
        <v>2347</v>
      </c>
      <c r="AC96" s="46" t="s">
        <v>2350</v>
      </c>
    </row>
    <row r="97" spans="1:29" ht="33.75" customHeight="1">
      <c r="A97" s="9"/>
      <c r="B97" s="8" t="s">
        <v>399</v>
      </c>
      <c r="C97" s="26">
        <v>555200</v>
      </c>
      <c r="D97" s="26">
        <v>180700</v>
      </c>
      <c r="E97" s="46" t="s">
        <v>2406</v>
      </c>
      <c r="F97" s="26">
        <v>51.503928000000002</v>
      </c>
      <c r="G97" s="26">
        <v>0.23476217999999999</v>
      </c>
      <c r="H97" s="10" t="s">
        <v>1175</v>
      </c>
      <c r="I97" s="8" t="s">
        <v>1174</v>
      </c>
      <c r="J97" s="9">
        <v>0.5</v>
      </c>
      <c r="K97" s="11"/>
      <c r="L97" s="11"/>
      <c r="M97" s="8"/>
      <c r="N97" s="8"/>
      <c r="O97" s="11"/>
      <c r="P97" s="22">
        <v>0</v>
      </c>
      <c r="Q97" s="12"/>
      <c r="R97" s="11"/>
      <c r="S97" s="8">
        <v>18</v>
      </c>
      <c r="T97" s="12"/>
      <c r="U97" s="11" t="s">
        <v>1178</v>
      </c>
      <c r="V97" s="11"/>
      <c r="W97" s="11"/>
      <c r="X97" s="9"/>
      <c r="Y97" s="9"/>
      <c r="Z97" s="8" t="s">
        <v>1180</v>
      </c>
      <c r="AA97" s="9"/>
      <c r="AB97" s="9" t="s">
        <v>2347</v>
      </c>
      <c r="AC97" s="46" t="s">
        <v>2350</v>
      </c>
    </row>
    <row r="98" spans="1:29" ht="33.75" customHeight="1">
      <c r="A98" s="9"/>
      <c r="B98" s="8" t="s">
        <v>399</v>
      </c>
      <c r="C98" s="26">
        <v>562500</v>
      </c>
      <c r="D98" s="26">
        <v>178200</v>
      </c>
      <c r="E98" s="46" t="s">
        <v>2406</v>
      </c>
      <c r="F98" s="26">
        <v>51.479418000000003</v>
      </c>
      <c r="G98" s="26">
        <v>0.33869999000000001</v>
      </c>
      <c r="H98" s="10" t="s">
        <v>1177</v>
      </c>
      <c r="I98" s="8" t="s">
        <v>1176</v>
      </c>
      <c r="J98" s="9">
        <v>9</v>
      </c>
      <c r="K98" s="11"/>
      <c r="L98" s="11"/>
      <c r="M98" s="8"/>
      <c r="N98" s="8"/>
      <c r="O98" s="11"/>
      <c r="P98" s="22">
        <v>0</v>
      </c>
      <c r="Q98" s="12"/>
      <c r="R98" s="11"/>
      <c r="S98" s="8">
        <v>3</v>
      </c>
      <c r="T98" s="12"/>
      <c r="U98" s="11" t="s">
        <v>1179</v>
      </c>
      <c r="V98" s="11"/>
      <c r="W98" s="11"/>
      <c r="X98" s="9"/>
      <c r="Y98" s="9"/>
      <c r="Z98" s="8" t="s">
        <v>1180</v>
      </c>
      <c r="AA98" s="9"/>
      <c r="AB98" s="9" t="s">
        <v>2347</v>
      </c>
      <c r="AC98" s="46" t="s">
        <v>2350</v>
      </c>
    </row>
    <row r="99" spans="1:29" ht="33.75" customHeight="1">
      <c r="A99" s="9"/>
      <c r="B99" s="8" t="s">
        <v>399</v>
      </c>
      <c r="C99" s="26">
        <v>541500</v>
      </c>
      <c r="D99" s="26">
        <v>206500</v>
      </c>
      <c r="E99" s="46" t="s">
        <v>2407</v>
      </c>
      <c r="F99" s="26">
        <v>51.739348999999997</v>
      </c>
      <c r="G99" s="26">
        <v>4.7923141000000002E-2</v>
      </c>
      <c r="H99" s="10" t="s">
        <v>1455</v>
      </c>
      <c r="I99" s="8" t="s">
        <v>1264</v>
      </c>
      <c r="J99" s="9">
        <v>50</v>
      </c>
      <c r="K99" s="11" t="s">
        <v>1265</v>
      </c>
      <c r="L99" s="11"/>
      <c r="M99" s="8"/>
      <c r="N99" s="8"/>
      <c r="O99" s="11"/>
      <c r="P99" s="22">
        <v>0</v>
      </c>
      <c r="Q99" s="12"/>
      <c r="R99" s="11"/>
      <c r="S99" s="8">
        <v>18</v>
      </c>
      <c r="T99" s="12"/>
      <c r="U99" s="11" t="s">
        <v>1268</v>
      </c>
      <c r="V99" s="11"/>
      <c r="W99" s="11"/>
      <c r="X99" s="9"/>
      <c r="Y99" s="9"/>
      <c r="Z99" s="8" t="s">
        <v>1269</v>
      </c>
      <c r="AA99" s="9"/>
      <c r="AB99" s="9" t="s">
        <v>2347</v>
      </c>
      <c r="AC99" s="46" t="s">
        <v>2350</v>
      </c>
    </row>
    <row r="100" spans="1:29" ht="33.75" customHeight="1">
      <c r="A100" s="9"/>
      <c r="B100" s="8" t="s">
        <v>399</v>
      </c>
      <c r="C100" s="26">
        <v>541500</v>
      </c>
      <c r="D100" s="26">
        <v>206500</v>
      </c>
      <c r="E100" s="46" t="s">
        <v>2407</v>
      </c>
      <c r="F100" s="26">
        <v>51.739348999999997</v>
      </c>
      <c r="G100" s="26">
        <v>4.7923141000000002E-2</v>
      </c>
      <c r="H100" s="10" t="s">
        <v>1455</v>
      </c>
      <c r="I100" s="8" t="s">
        <v>1264</v>
      </c>
      <c r="J100" s="9">
        <v>50</v>
      </c>
      <c r="K100" s="11" t="s">
        <v>1266</v>
      </c>
      <c r="L100" s="11"/>
      <c r="M100" s="8"/>
      <c r="N100" s="8"/>
      <c r="O100" s="11"/>
      <c r="P100" s="22">
        <v>0</v>
      </c>
      <c r="Q100" s="12"/>
      <c r="R100" s="11"/>
      <c r="S100" s="8">
        <v>26</v>
      </c>
      <c r="T100" s="12"/>
      <c r="U100" s="11" t="s">
        <v>6</v>
      </c>
      <c r="V100" s="11"/>
      <c r="W100" s="11"/>
      <c r="X100" s="9"/>
      <c r="Y100" s="9"/>
      <c r="Z100" s="8" t="s">
        <v>1269</v>
      </c>
      <c r="AA100" s="9"/>
      <c r="AB100" s="9" t="s">
        <v>2347</v>
      </c>
      <c r="AC100" s="46" t="s">
        <v>2350</v>
      </c>
    </row>
    <row r="101" spans="1:29" ht="33.75" customHeight="1">
      <c r="A101" s="9"/>
      <c r="B101" s="8" t="s">
        <v>399</v>
      </c>
      <c r="C101" s="26">
        <v>541500</v>
      </c>
      <c r="D101" s="26">
        <v>206500</v>
      </c>
      <c r="E101" s="46" t="s">
        <v>2407</v>
      </c>
      <c r="F101" s="26">
        <v>51.739348999999997</v>
      </c>
      <c r="G101" s="26">
        <v>4.7923141000000002E-2</v>
      </c>
      <c r="H101" s="10" t="s">
        <v>1455</v>
      </c>
      <c r="I101" s="8" t="s">
        <v>1264</v>
      </c>
      <c r="J101" s="9">
        <v>50</v>
      </c>
      <c r="K101" s="11" t="s">
        <v>1267</v>
      </c>
      <c r="L101" s="11"/>
      <c r="M101" s="8"/>
      <c r="N101" s="8"/>
      <c r="O101" s="11"/>
      <c r="P101" s="22">
        <v>0</v>
      </c>
      <c r="Q101" s="12"/>
      <c r="R101" s="11"/>
      <c r="S101" s="8">
        <v>20</v>
      </c>
      <c r="T101" s="12"/>
      <c r="U101" s="11" t="s">
        <v>6</v>
      </c>
      <c r="V101" s="11"/>
      <c r="W101" s="11"/>
      <c r="X101" s="9"/>
      <c r="Y101" s="9"/>
      <c r="Z101" s="8" t="s">
        <v>1269</v>
      </c>
      <c r="AA101" s="9"/>
      <c r="AB101" s="9" t="s">
        <v>2347</v>
      </c>
      <c r="AC101" s="46" t="s">
        <v>2350</v>
      </c>
    </row>
    <row r="102" spans="1:29" ht="33.75" customHeight="1">
      <c r="A102" s="11"/>
      <c r="B102" s="8" t="s">
        <v>399</v>
      </c>
      <c r="C102" s="26">
        <v>590524</v>
      </c>
      <c r="D102" s="26">
        <v>223510</v>
      </c>
      <c r="E102" s="50" t="s">
        <v>2408</v>
      </c>
      <c r="F102" s="26">
        <v>51.877602000000003</v>
      </c>
      <c r="G102" s="26">
        <v>0.76649836000000005</v>
      </c>
      <c r="H102" s="38" t="s">
        <v>1629</v>
      </c>
      <c r="I102" s="8" t="s">
        <v>1575</v>
      </c>
      <c r="J102" s="11">
        <v>40</v>
      </c>
      <c r="K102" s="11"/>
      <c r="L102" s="11"/>
      <c r="M102" s="8"/>
      <c r="N102" s="8"/>
      <c r="O102" s="11"/>
      <c r="P102" s="22">
        <v>0</v>
      </c>
      <c r="Q102" s="12"/>
      <c r="R102" s="11"/>
      <c r="S102" s="8">
        <v>30</v>
      </c>
      <c r="T102" s="12"/>
      <c r="U102" s="11"/>
      <c r="V102" s="11" t="s">
        <v>593</v>
      </c>
      <c r="W102" s="11"/>
      <c r="X102" s="11"/>
      <c r="Y102" s="11"/>
      <c r="Z102" s="8" t="s">
        <v>1576</v>
      </c>
      <c r="AA102" s="11"/>
      <c r="AB102" s="9" t="s">
        <v>2347</v>
      </c>
      <c r="AC102" s="46" t="s">
        <v>2350</v>
      </c>
    </row>
    <row r="103" spans="1:29" ht="33.75" customHeight="1">
      <c r="A103" s="11">
        <v>8</v>
      </c>
      <c r="B103" s="8" t="s">
        <v>12</v>
      </c>
      <c r="C103" s="9">
        <v>282360</v>
      </c>
      <c r="D103" s="9">
        <v>131470</v>
      </c>
      <c r="E103" s="46" t="s">
        <v>2389</v>
      </c>
      <c r="F103" s="9">
        <v>51.065869999999997</v>
      </c>
      <c r="G103" s="9">
        <v>-3.6874017000000001</v>
      </c>
      <c r="H103" s="10" t="s">
        <v>60</v>
      </c>
      <c r="I103" s="8" t="s">
        <v>61</v>
      </c>
      <c r="J103" s="9">
        <v>341</v>
      </c>
      <c r="K103" s="11" t="s">
        <v>65</v>
      </c>
      <c r="L103" s="11" t="s">
        <v>2</v>
      </c>
      <c r="M103" s="8" t="s">
        <v>920</v>
      </c>
      <c r="N103" s="8" t="s">
        <v>919</v>
      </c>
      <c r="O103" s="11">
        <v>4050</v>
      </c>
      <c r="P103" s="22">
        <v>5</v>
      </c>
      <c r="Q103" s="12">
        <f t="shared" ref="Q103:Q110" si="4">P103/O103*1000</f>
        <v>1.2345679012345678</v>
      </c>
      <c r="R103" s="11" t="s">
        <v>40</v>
      </c>
      <c r="S103" s="8">
        <v>37</v>
      </c>
      <c r="T103" s="12">
        <f t="shared" ref="T103:T110" si="5">S103/(O103/1000)</f>
        <v>9.1358024691358022</v>
      </c>
      <c r="U103" s="11" t="s">
        <v>904</v>
      </c>
      <c r="V103" s="11" t="s">
        <v>594</v>
      </c>
      <c r="W103" s="11" t="s">
        <v>13</v>
      </c>
      <c r="X103" s="9" t="s">
        <v>41</v>
      </c>
      <c r="Y103" s="9" t="s">
        <v>42</v>
      </c>
      <c r="Z103" s="8" t="s">
        <v>151</v>
      </c>
      <c r="AA103" s="9" t="s">
        <v>926</v>
      </c>
      <c r="AB103" s="9" t="s">
        <v>2347</v>
      </c>
      <c r="AC103" s="46" t="s">
        <v>2350</v>
      </c>
    </row>
    <row r="104" spans="1:29" ht="33.75" customHeight="1">
      <c r="A104" s="11">
        <v>8</v>
      </c>
      <c r="B104" s="8" t="s">
        <v>12</v>
      </c>
      <c r="C104" s="41">
        <v>282970</v>
      </c>
      <c r="D104" s="41">
        <v>130190</v>
      </c>
      <c r="E104" s="46" t="s">
        <v>2389</v>
      </c>
      <c r="F104" s="41">
        <v>51.054490000000001</v>
      </c>
      <c r="G104" s="41">
        <v>-3.6782840000000001</v>
      </c>
      <c r="H104" s="10" t="s">
        <v>62</v>
      </c>
      <c r="I104" s="8" t="s">
        <v>63</v>
      </c>
      <c r="J104" s="9">
        <v>291</v>
      </c>
      <c r="K104" s="11" t="s">
        <v>66</v>
      </c>
      <c r="L104" s="11" t="s">
        <v>2</v>
      </c>
      <c r="M104" s="8" t="s">
        <v>922</v>
      </c>
      <c r="N104" s="8" t="s">
        <v>921</v>
      </c>
      <c r="O104" s="11">
        <v>2940</v>
      </c>
      <c r="P104" s="22">
        <v>4</v>
      </c>
      <c r="Q104" s="12">
        <f t="shared" si="4"/>
        <v>1.3605442176870748</v>
      </c>
      <c r="R104" s="11" t="s">
        <v>40</v>
      </c>
      <c r="S104" s="8">
        <v>43</v>
      </c>
      <c r="T104" s="12">
        <f t="shared" si="5"/>
        <v>14.625850340136054</v>
      </c>
      <c r="U104" s="11" t="s">
        <v>904</v>
      </c>
      <c r="V104" s="11" t="s">
        <v>594</v>
      </c>
      <c r="W104" s="11" t="s">
        <v>13</v>
      </c>
      <c r="X104" s="9" t="s">
        <v>41</v>
      </c>
      <c r="Y104" s="9" t="s">
        <v>42</v>
      </c>
      <c r="Z104" s="8" t="s">
        <v>612</v>
      </c>
      <c r="AA104" s="9" t="s">
        <v>927</v>
      </c>
      <c r="AB104" s="9" t="s">
        <v>2347</v>
      </c>
      <c r="AC104" s="46" t="s">
        <v>2350</v>
      </c>
    </row>
    <row r="105" spans="1:29" ht="33.75" customHeight="1">
      <c r="A105" s="11">
        <v>8</v>
      </c>
      <c r="B105" s="8" t="s">
        <v>12</v>
      </c>
      <c r="C105" s="41">
        <v>283220</v>
      </c>
      <c r="D105" s="41">
        <v>130180</v>
      </c>
      <c r="E105" s="46" t="s">
        <v>2389</v>
      </c>
      <c r="F105" s="4">
        <v>51.054451</v>
      </c>
      <c r="G105" s="4">
        <v>-3.6747154000000002</v>
      </c>
      <c r="H105" s="10" t="s">
        <v>64</v>
      </c>
      <c r="I105" s="8" t="s">
        <v>918</v>
      </c>
      <c r="J105" s="9">
        <v>282</v>
      </c>
      <c r="K105" s="11" t="s">
        <v>65</v>
      </c>
      <c r="L105" s="11" t="s">
        <v>2</v>
      </c>
      <c r="M105" s="8" t="s">
        <v>924</v>
      </c>
      <c r="N105" s="8" t="s">
        <v>923</v>
      </c>
      <c r="O105" s="11">
        <f>1920-420</f>
        <v>1500</v>
      </c>
      <c r="P105" s="22">
        <v>6</v>
      </c>
      <c r="Q105" s="12">
        <f t="shared" si="4"/>
        <v>4</v>
      </c>
      <c r="R105" s="11" t="s">
        <v>40</v>
      </c>
      <c r="S105" s="8">
        <v>35</v>
      </c>
      <c r="T105" s="12">
        <f t="shared" si="5"/>
        <v>23.333333333333332</v>
      </c>
      <c r="U105" s="11" t="s">
        <v>904</v>
      </c>
      <c r="V105" s="11" t="s">
        <v>594</v>
      </c>
      <c r="W105" s="11" t="s">
        <v>13</v>
      </c>
      <c r="X105" s="9" t="s">
        <v>41</v>
      </c>
      <c r="Y105" s="9" t="s">
        <v>42</v>
      </c>
      <c r="Z105" s="8" t="s">
        <v>612</v>
      </c>
      <c r="AA105" s="9" t="s">
        <v>925</v>
      </c>
      <c r="AB105" s="9" t="s">
        <v>2347</v>
      </c>
      <c r="AC105" s="46" t="s">
        <v>2350</v>
      </c>
    </row>
    <row r="106" spans="1:29" ht="33.75" customHeight="1">
      <c r="A106" s="11">
        <v>54</v>
      </c>
      <c r="B106" s="8" t="s">
        <v>12</v>
      </c>
      <c r="C106" s="41">
        <v>274300</v>
      </c>
      <c r="D106" s="41">
        <v>137700</v>
      </c>
      <c r="E106" s="46" t="s">
        <v>2378</v>
      </c>
      <c r="F106" s="42">
        <v>51.120145999999998</v>
      </c>
      <c r="G106" s="42">
        <v>-3.8045491999999999</v>
      </c>
      <c r="H106" s="10" t="s">
        <v>213</v>
      </c>
      <c r="I106" s="8" t="s">
        <v>210</v>
      </c>
      <c r="J106" s="9">
        <v>445</v>
      </c>
      <c r="K106" s="11" t="s">
        <v>43</v>
      </c>
      <c r="L106" s="11" t="s">
        <v>2</v>
      </c>
      <c r="M106" s="8">
        <v>7350</v>
      </c>
      <c r="N106" s="8">
        <v>1780</v>
      </c>
      <c r="O106" s="11">
        <f>M106-N106</f>
        <v>5570</v>
      </c>
      <c r="P106" s="22">
        <v>5</v>
      </c>
      <c r="Q106" s="12">
        <f t="shared" si="4"/>
        <v>0.89766606822262118</v>
      </c>
      <c r="R106" s="11" t="s">
        <v>40</v>
      </c>
      <c r="S106" s="8">
        <v>40</v>
      </c>
      <c r="T106" s="12">
        <f t="shared" si="5"/>
        <v>7.1813285457809695</v>
      </c>
      <c r="U106" s="11"/>
      <c r="V106" s="11"/>
      <c r="W106" s="11" t="s">
        <v>216</v>
      </c>
      <c r="X106" s="9" t="s">
        <v>195</v>
      </c>
      <c r="Y106" s="9" t="s">
        <v>43</v>
      </c>
      <c r="Z106" s="8" t="s">
        <v>217</v>
      </c>
      <c r="AA106" s="9"/>
      <c r="AB106" s="9" t="s">
        <v>2347</v>
      </c>
      <c r="AC106" s="46" t="s">
        <v>2350</v>
      </c>
    </row>
    <row r="107" spans="1:29" ht="33.75" customHeight="1">
      <c r="A107" s="11">
        <v>54</v>
      </c>
      <c r="B107" s="8" t="s">
        <v>12</v>
      </c>
      <c r="C107" s="41">
        <v>272800</v>
      </c>
      <c r="D107" s="41">
        <v>137400</v>
      </c>
      <c r="E107" s="46" t="s">
        <v>2378</v>
      </c>
      <c r="F107" s="42">
        <v>51.117117</v>
      </c>
      <c r="G107" s="42">
        <v>-3.8258635000000001</v>
      </c>
      <c r="H107" s="10" t="s">
        <v>214</v>
      </c>
      <c r="I107" s="8" t="s">
        <v>211</v>
      </c>
      <c r="J107" s="9">
        <v>450</v>
      </c>
      <c r="K107" s="11" t="s">
        <v>43</v>
      </c>
      <c r="L107" s="11" t="s">
        <v>2</v>
      </c>
      <c r="M107" s="8">
        <v>3620</v>
      </c>
      <c r="N107" s="8">
        <v>1430</v>
      </c>
      <c r="O107" s="11">
        <f>M107-N107</f>
        <v>2190</v>
      </c>
      <c r="P107" s="22">
        <v>5</v>
      </c>
      <c r="Q107" s="12">
        <f t="shared" si="4"/>
        <v>2.2831050228310499</v>
      </c>
      <c r="R107" s="11" t="s">
        <v>40</v>
      </c>
      <c r="S107" s="8">
        <v>60</v>
      </c>
      <c r="T107" s="12">
        <f t="shared" si="5"/>
        <v>27.397260273972602</v>
      </c>
      <c r="U107" s="11"/>
      <c r="V107" s="11"/>
      <c r="W107" s="11" t="s">
        <v>216</v>
      </c>
      <c r="X107" s="9" t="s">
        <v>195</v>
      </c>
      <c r="Y107" s="9" t="s">
        <v>43</v>
      </c>
      <c r="Z107" s="8" t="s">
        <v>217</v>
      </c>
      <c r="AA107" s="9"/>
      <c r="AB107" s="9" t="s">
        <v>2347</v>
      </c>
      <c r="AC107" s="46" t="s">
        <v>2350</v>
      </c>
    </row>
    <row r="108" spans="1:29" ht="33.75" customHeight="1">
      <c r="A108" s="11">
        <v>54</v>
      </c>
      <c r="B108" s="8" t="s">
        <v>12</v>
      </c>
      <c r="C108" s="41">
        <v>272300</v>
      </c>
      <c r="D108" s="41">
        <v>139800</v>
      </c>
      <c r="E108" s="46" t="s">
        <v>2378</v>
      </c>
      <c r="F108" s="42">
        <v>51.138575000000003</v>
      </c>
      <c r="G108" s="42">
        <v>-3.8338576999999998</v>
      </c>
      <c r="H108" s="10" t="s">
        <v>215</v>
      </c>
      <c r="I108" s="8" t="s">
        <v>212</v>
      </c>
      <c r="J108" s="9">
        <v>410</v>
      </c>
      <c r="K108" s="11" t="s">
        <v>43</v>
      </c>
      <c r="L108" s="11" t="s">
        <v>2</v>
      </c>
      <c r="M108" s="8">
        <v>3170</v>
      </c>
      <c r="N108" s="8">
        <v>680</v>
      </c>
      <c r="O108" s="11">
        <f>M108-N108</f>
        <v>2490</v>
      </c>
      <c r="P108" s="22">
        <v>5</v>
      </c>
      <c r="Q108" s="12">
        <f t="shared" si="4"/>
        <v>2.0080321285140559</v>
      </c>
      <c r="R108" s="11" t="s">
        <v>40</v>
      </c>
      <c r="S108" s="8">
        <v>55</v>
      </c>
      <c r="T108" s="12">
        <f t="shared" si="5"/>
        <v>22.088353413654616</v>
      </c>
      <c r="U108" s="11"/>
      <c r="V108" s="11"/>
      <c r="W108" s="11" t="s">
        <v>216</v>
      </c>
      <c r="X108" s="9" t="s">
        <v>195</v>
      </c>
      <c r="Y108" s="9" t="s">
        <v>43</v>
      </c>
      <c r="Z108" s="8" t="s">
        <v>217</v>
      </c>
      <c r="AA108" s="9"/>
      <c r="AB108" s="9" t="s">
        <v>2347</v>
      </c>
      <c r="AC108" s="46" t="s">
        <v>2350</v>
      </c>
    </row>
    <row r="109" spans="1:29" ht="33.75" customHeight="1">
      <c r="A109" s="11"/>
      <c r="B109" s="8" t="s">
        <v>12</v>
      </c>
      <c r="C109" s="41">
        <v>273222</v>
      </c>
      <c r="D109" s="41">
        <v>142460</v>
      </c>
      <c r="E109" s="46" t="s">
        <v>2409</v>
      </c>
      <c r="F109" s="41">
        <v>51.167288999999997</v>
      </c>
      <c r="G109" s="41">
        <v>-3.8146591000000001</v>
      </c>
      <c r="H109" s="9" t="s">
        <v>895</v>
      </c>
      <c r="I109" s="8" t="s">
        <v>892</v>
      </c>
      <c r="J109" s="9">
        <v>475</v>
      </c>
      <c r="K109" s="11"/>
      <c r="L109" s="11"/>
      <c r="M109" s="8" t="s">
        <v>893</v>
      </c>
      <c r="N109" s="8" t="s">
        <v>894</v>
      </c>
      <c r="O109" s="11">
        <f>4170-1500</f>
        <v>2670</v>
      </c>
      <c r="P109" s="22">
        <v>5</v>
      </c>
      <c r="Q109" s="12">
        <f t="shared" si="4"/>
        <v>1.8726591760299625</v>
      </c>
      <c r="R109" s="11"/>
      <c r="S109" s="8">
        <v>28</v>
      </c>
      <c r="T109" s="12">
        <f t="shared" si="5"/>
        <v>10.486891385767791</v>
      </c>
      <c r="U109" s="11"/>
      <c r="V109" s="11" t="s">
        <v>594</v>
      </c>
      <c r="W109" s="11"/>
      <c r="X109" s="9"/>
      <c r="Y109" s="9"/>
      <c r="Z109" s="8" t="s">
        <v>896</v>
      </c>
      <c r="AA109" s="9"/>
      <c r="AB109" s="9" t="s">
        <v>2347</v>
      </c>
      <c r="AC109" s="46" t="s">
        <v>2350</v>
      </c>
    </row>
    <row r="110" spans="1:29" ht="33.75" customHeight="1">
      <c r="A110" s="11"/>
      <c r="B110" s="8" t="s">
        <v>1734</v>
      </c>
      <c r="C110" s="41">
        <v>389810</v>
      </c>
      <c r="D110" s="41">
        <v>239078</v>
      </c>
      <c r="E110" s="46" t="s">
        <v>2410</v>
      </c>
      <c r="F110" s="41">
        <v>52.05</v>
      </c>
      <c r="G110" s="41">
        <v>-2.15</v>
      </c>
      <c r="H110" s="9" t="s">
        <v>696</v>
      </c>
      <c r="I110" s="8" t="s">
        <v>692</v>
      </c>
      <c r="J110" s="9">
        <v>30</v>
      </c>
      <c r="K110" s="11" t="s">
        <v>693</v>
      </c>
      <c r="L110" s="11" t="s">
        <v>694</v>
      </c>
      <c r="M110" s="8" t="s">
        <v>764</v>
      </c>
      <c r="N110" s="8" t="s">
        <v>765</v>
      </c>
      <c r="O110" s="11">
        <v>530</v>
      </c>
      <c r="P110" s="22">
        <v>4</v>
      </c>
      <c r="Q110" s="12">
        <f t="shared" si="4"/>
        <v>7.5471698113207548</v>
      </c>
      <c r="R110" s="11"/>
      <c r="S110" s="8">
        <v>16</v>
      </c>
      <c r="T110" s="12">
        <f t="shared" si="5"/>
        <v>30.188679245283016</v>
      </c>
      <c r="U110" s="11" t="s">
        <v>695</v>
      </c>
      <c r="V110" s="11" t="s">
        <v>594</v>
      </c>
      <c r="W110" s="11" t="s">
        <v>698</v>
      </c>
      <c r="X110" s="9"/>
      <c r="Y110" s="9"/>
      <c r="Z110" s="8" t="s">
        <v>697</v>
      </c>
      <c r="AA110" s="9"/>
      <c r="AB110" s="9" t="s">
        <v>2347</v>
      </c>
      <c r="AC110" s="46" t="s">
        <v>2350</v>
      </c>
    </row>
    <row r="111" spans="1:29" ht="33.75" customHeight="1">
      <c r="A111" s="11">
        <v>30</v>
      </c>
      <c r="B111" s="8" t="s">
        <v>112</v>
      </c>
      <c r="C111" s="42">
        <v>425100</v>
      </c>
      <c r="D111" s="42">
        <v>107600</v>
      </c>
      <c r="E111" s="46" t="s">
        <v>2411</v>
      </c>
      <c r="F111" s="42">
        <v>50.867364000000002</v>
      </c>
      <c r="G111" s="42">
        <v>-1.6446906999999999</v>
      </c>
      <c r="H111" s="10" t="s">
        <v>317</v>
      </c>
      <c r="I111" s="8" t="s">
        <v>104</v>
      </c>
      <c r="J111" s="9">
        <v>40</v>
      </c>
      <c r="K111" s="11"/>
      <c r="L111" s="11" t="s">
        <v>2</v>
      </c>
      <c r="M111" s="8"/>
      <c r="N111" s="8"/>
      <c r="O111" s="11"/>
      <c r="P111" s="22">
        <v>0</v>
      </c>
      <c r="Q111" s="12"/>
      <c r="R111" s="11" t="s">
        <v>40</v>
      </c>
      <c r="S111" s="8">
        <v>50</v>
      </c>
      <c r="T111" s="12"/>
      <c r="U111" s="11"/>
      <c r="V111" s="11"/>
      <c r="W111" s="11" t="s">
        <v>113</v>
      </c>
      <c r="X111" s="9" t="s">
        <v>99</v>
      </c>
      <c r="Y111" s="9" t="s">
        <v>100</v>
      </c>
      <c r="Z111" s="8" t="s">
        <v>161</v>
      </c>
      <c r="AA111" s="9" t="s">
        <v>1493</v>
      </c>
      <c r="AB111" s="9" t="s">
        <v>2347</v>
      </c>
      <c r="AC111" s="46" t="s">
        <v>2350</v>
      </c>
    </row>
    <row r="112" spans="1:29" ht="33.75" customHeight="1">
      <c r="A112" s="11">
        <v>30</v>
      </c>
      <c r="B112" s="8" t="s">
        <v>112</v>
      </c>
      <c r="C112" s="42">
        <v>419800</v>
      </c>
      <c r="D112" s="42">
        <v>102900</v>
      </c>
      <c r="E112" s="46" t="s">
        <v>2411</v>
      </c>
      <c r="F112" s="42">
        <v>50.825304000000003</v>
      </c>
      <c r="G112" s="42">
        <v>-1.7202569000000001</v>
      </c>
      <c r="H112" s="10" t="s">
        <v>318</v>
      </c>
      <c r="I112" s="8" t="s">
        <v>105</v>
      </c>
      <c r="J112" s="9">
        <v>40</v>
      </c>
      <c r="K112" s="11"/>
      <c r="L112" s="11" t="s">
        <v>2</v>
      </c>
      <c r="M112" s="8"/>
      <c r="N112" s="8"/>
      <c r="O112" s="11"/>
      <c r="P112" s="22">
        <v>0</v>
      </c>
      <c r="Q112" s="12"/>
      <c r="R112" s="11" t="s">
        <v>40</v>
      </c>
      <c r="S112" s="8">
        <v>50</v>
      </c>
      <c r="T112" s="12"/>
      <c r="U112" s="11"/>
      <c r="V112" s="11"/>
      <c r="W112" s="11" t="s">
        <v>113</v>
      </c>
      <c r="X112" s="9" t="s">
        <v>99</v>
      </c>
      <c r="Y112" s="9" t="s">
        <v>100</v>
      </c>
      <c r="Z112" s="8" t="s">
        <v>622</v>
      </c>
      <c r="AA112" s="9" t="s">
        <v>1493</v>
      </c>
      <c r="AB112" s="9" t="s">
        <v>2347</v>
      </c>
      <c r="AC112" s="46" t="s">
        <v>2350</v>
      </c>
    </row>
    <row r="113" spans="1:29" ht="33.75" customHeight="1">
      <c r="A113" s="11">
        <v>30</v>
      </c>
      <c r="B113" s="8" t="s">
        <v>112</v>
      </c>
      <c r="C113" s="42">
        <v>428319</v>
      </c>
      <c r="D113" s="42">
        <v>105926</v>
      </c>
      <c r="E113" s="46" t="s">
        <v>2411</v>
      </c>
      <c r="F113" s="42">
        <v>50.852162999999997</v>
      </c>
      <c r="G113" s="42">
        <v>-1.5990778999999999</v>
      </c>
      <c r="H113" s="11" t="s">
        <v>319</v>
      </c>
      <c r="I113" s="8" t="s">
        <v>106</v>
      </c>
      <c r="J113" s="9">
        <v>20</v>
      </c>
      <c r="K113" s="11"/>
      <c r="L113" s="11" t="s">
        <v>2</v>
      </c>
      <c r="M113" s="8"/>
      <c r="N113" s="8"/>
      <c r="O113" s="11"/>
      <c r="P113" s="22">
        <v>0</v>
      </c>
      <c r="Q113" s="12"/>
      <c r="R113" s="11" t="s">
        <v>40</v>
      </c>
      <c r="S113" s="8">
        <v>40</v>
      </c>
      <c r="T113" s="12"/>
      <c r="U113" s="11"/>
      <c r="V113" s="11"/>
      <c r="W113" s="11" t="s">
        <v>113</v>
      </c>
      <c r="X113" s="9" t="s">
        <v>99</v>
      </c>
      <c r="Y113" s="9" t="s">
        <v>100</v>
      </c>
      <c r="Z113" s="8" t="s">
        <v>622</v>
      </c>
      <c r="AA113" s="9" t="s">
        <v>1493</v>
      </c>
      <c r="AB113" s="9" t="s">
        <v>2347</v>
      </c>
      <c r="AC113" s="46" t="s">
        <v>2350</v>
      </c>
    </row>
    <row r="114" spans="1:29" ht="33.75" customHeight="1">
      <c r="A114" s="11"/>
      <c r="B114" s="8" t="s">
        <v>112</v>
      </c>
      <c r="C114" s="42">
        <v>445700</v>
      </c>
      <c r="D114" s="42">
        <v>98400</v>
      </c>
      <c r="E114" s="46" t="s">
        <v>2412</v>
      </c>
      <c r="F114" s="42">
        <v>50.783380000000001</v>
      </c>
      <c r="G114" s="42">
        <v>-1.3531175</v>
      </c>
      <c r="H114" s="10" t="s">
        <v>1164</v>
      </c>
      <c r="I114" s="8" t="s">
        <v>1163</v>
      </c>
      <c r="J114" s="9">
        <v>0.5</v>
      </c>
      <c r="K114" s="11" t="s">
        <v>1165</v>
      </c>
      <c r="L114" s="11"/>
      <c r="M114" s="8"/>
      <c r="N114" s="8"/>
      <c r="O114" s="11"/>
      <c r="P114" s="22">
        <v>0</v>
      </c>
      <c r="Q114" s="12"/>
      <c r="R114" s="11"/>
      <c r="S114" s="8">
        <v>9</v>
      </c>
      <c r="T114" s="12"/>
      <c r="U114" s="11" t="s">
        <v>1081</v>
      </c>
      <c r="V114" s="11"/>
      <c r="W114" s="11"/>
      <c r="X114" s="9"/>
      <c r="Y114" s="9"/>
      <c r="Z114" s="8" t="s">
        <v>1168</v>
      </c>
      <c r="AA114" s="9"/>
      <c r="AB114" s="9" t="s">
        <v>2347</v>
      </c>
      <c r="AC114" s="46" t="s">
        <v>2350</v>
      </c>
    </row>
    <row r="115" spans="1:29" ht="33.75" customHeight="1">
      <c r="A115" s="11"/>
      <c r="B115" s="8" t="s">
        <v>112</v>
      </c>
      <c r="C115" s="42">
        <v>445700</v>
      </c>
      <c r="D115" s="42">
        <v>98400</v>
      </c>
      <c r="E115" s="46" t="s">
        <v>2412</v>
      </c>
      <c r="F115" s="42">
        <v>50.783380000000001</v>
      </c>
      <c r="G115" s="42">
        <v>-1.3531175</v>
      </c>
      <c r="H115" s="10" t="s">
        <v>1164</v>
      </c>
      <c r="I115" s="8" t="s">
        <v>1163</v>
      </c>
      <c r="J115" s="9">
        <v>0.8</v>
      </c>
      <c r="K115" s="11" t="s">
        <v>1166</v>
      </c>
      <c r="L115" s="11"/>
      <c r="M115" s="8"/>
      <c r="N115" s="8"/>
      <c r="O115" s="11"/>
      <c r="P115" s="22">
        <v>0</v>
      </c>
      <c r="Q115" s="12"/>
      <c r="R115" s="11"/>
      <c r="S115" s="8">
        <v>15</v>
      </c>
      <c r="T115" s="12"/>
      <c r="U115" s="11" t="s">
        <v>1081</v>
      </c>
      <c r="V115" s="11"/>
      <c r="W115" s="11"/>
      <c r="X115" s="9"/>
      <c r="Y115" s="9"/>
      <c r="Z115" s="8" t="s">
        <v>1168</v>
      </c>
      <c r="AA115" s="9"/>
      <c r="AB115" s="9" t="s">
        <v>2347</v>
      </c>
      <c r="AC115" s="46" t="s">
        <v>2350</v>
      </c>
    </row>
    <row r="116" spans="1:29" ht="33.75" customHeight="1">
      <c r="A116" s="11"/>
      <c r="B116" s="8" t="s">
        <v>112</v>
      </c>
      <c r="C116" s="42">
        <v>445700</v>
      </c>
      <c r="D116" s="42">
        <v>98400</v>
      </c>
      <c r="E116" s="46" t="s">
        <v>2412</v>
      </c>
      <c r="F116" s="42">
        <v>50.783380000000001</v>
      </c>
      <c r="G116" s="42">
        <v>-1.3531175</v>
      </c>
      <c r="H116" s="10" t="s">
        <v>1164</v>
      </c>
      <c r="I116" s="8" t="s">
        <v>1163</v>
      </c>
      <c r="J116" s="9">
        <v>0.2</v>
      </c>
      <c r="K116" s="11" t="s">
        <v>1167</v>
      </c>
      <c r="L116" s="11"/>
      <c r="M116" s="8"/>
      <c r="N116" s="8"/>
      <c r="O116" s="11"/>
      <c r="P116" s="22">
        <v>0</v>
      </c>
      <c r="Q116" s="12"/>
      <c r="R116" s="11"/>
      <c r="S116" s="8">
        <v>5</v>
      </c>
      <c r="T116" s="12"/>
      <c r="U116" s="11" t="s">
        <v>1081</v>
      </c>
      <c r="V116" s="11"/>
      <c r="W116" s="11"/>
      <c r="X116" s="9"/>
      <c r="Y116" s="9"/>
      <c r="Z116" s="8" t="s">
        <v>1168</v>
      </c>
      <c r="AA116" s="9"/>
      <c r="AB116" s="9" t="s">
        <v>2347</v>
      </c>
      <c r="AC116" s="46" t="s">
        <v>2350</v>
      </c>
    </row>
    <row r="117" spans="1:29" ht="33.75" customHeight="1">
      <c r="A117" s="11"/>
      <c r="B117" s="14" t="s">
        <v>112</v>
      </c>
      <c r="C117" s="42">
        <v>424700</v>
      </c>
      <c r="D117" s="42">
        <v>107200</v>
      </c>
      <c r="E117" s="59" t="s">
        <v>2414</v>
      </c>
      <c r="F117" s="42">
        <v>50.863784000000003</v>
      </c>
      <c r="G117" s="42">
        <v>-1.6504015999999999</v>
      </c>
      <c r="H117" s="26" t="s">
        <v>741</v>
      </c>
      <c r="I117" s="14" t="s">
        <v>105</v>
      </c>
      <c r="J117" s="15">
        <v>40</v>
      </c>
      <c r="K117" s="15"/>
      <c r="L117" s="11" t="s">
        <v>2</v>
      </c>
      <c r="M117" s="14" t="s">
        <v>1495</v>
      </c>
      <c r="N117" s="21" t="s">
        <v>1494</v>
      </c>
      <c r="O117" s="11">
        <v>8952</v>
      </c>
      <c r="P117" s="23">
        <v>8</v>
      </c>
      <c r="Q117" s="12">
        <f>P117/O117*1000</f>
        <v>0.89365504915102767</v>
      </c>
      <c r="R117" s="15"/>
      <c r="S117" s="14">
        <v>120</v>
      </c>
      <c r="T117" s="12">
        <f>S117/(O117/1000)</f>
        <v>13.404825737265416</v>
      </c>
      <c r="U117" s="15" t="s">
        <v>740</v>
      </c>
      <c r="V117" s="11"/>
      <c r="W117" s="11"/>
      <c r="X117" s="9"/>
      <c r="Y117" s="9"/>
      <c r="Z117" s="58" t="s">
        <v>2415</v>
      </c>
      <c r="AA117" s="9"/>
      <c r="AB117" s="9" t="s">
        <v>2347</v>
      </c>
      <c r="AC117" s="46" t="s">
        <v>2350</v>
      </c>
    </row>
    <row r="118" spans="1:29" ht="33.75" customHeight="1">
      <c r="A118" s="11"/>
      <c r="B118" s="8" t="s">
        <v>112</v>
      </c>
      <c r="C118" s="41">
        <v>419000</v>
      </c>
      <c r="D118" s="41">
        <v>102000</v>
      </c>
      <c r="E118" s="46" t="s">
        <v>2413</v>
      </c>
      <c r="F118" s="41">
        <v>50.817238000000003</v>
      </c>
      <c r="G118" s="41">
        <v>-1.7316611</v>
      </c>
      <c r="H118" s="10" t="s">
        <v>744</v>
      </c>
      <c r="I118" s="8" t="s">
        <v>743</v>
      </c>
      <c r="J118" s="9">
        <v>40</v>
      </c>
      <c r="K118" s="11"/>
      <c r="L118" s="11" t="s">
        <v>746</v>
      </c>
      <c r="M118" s="8" t="s">
        <v>774</v>
      </c>
      <c r="N118" s="8" t="s">
        <v>775</v>
      </c>
      <c r="O118" s="11">
        <f>9204-277</f>
        <v>8927</v>
      </c>
      <c r="P118" s="22">
        <v>8</v>
      </c>
      <c r="Q118" s="12">
        <f>P118/O118*1000</f>
        <v>0.89615772375938163</v>
      </c>
      <c r="R118" s="11"/>
      <c r="S118" s="8">
        <v>170</v>
      </c>
      <c r="T118" s="12">
        <f>S118/(O118/1000)</f>
        <v>19.04335162988686</v>
      </c>
      <c r="U118" s="11" t="s">
        <v>745</v>
      </c>
      <c r="V118" s="11" t="s">
        <v>594</v>
      </c>
      <c r="W118" s="11"/>
      <c r="X118" s="9"/>
      <c r="Y118" s="9"/>
      <c r="Z118" s="8" t="s">
        <v>747</v>
      </c>
      <c r="AA118" s="9"/>
      <c r="AB118" s="9" t="s">
        <v>2347</v>
      </c>
      <c r="AC118" s="46" t="s">
        <v>2350</v>
      </c>
    </row>
    <row r="119" spans="1:29" ht="33.75" customHeight="1">
      <c r="A119" s="9">
        <v>85</v>
      </c>
      <c r="B119" s="8" t="s">
        <v>112</v>
      </c>
      <c r="C119" s="41">
        <v>481800</v>
      </c>
      <c r="D119" s="41">
        <v>133300</v>
      </c>
      <c r="E119" s="46" t="s">
        <v>2416</v>
      </c>
      <c r="F119" s="41">
        <v>51.093186000000003</v>
      </c>
      <c r="G119" s="41">
        <v>-0.83330638000000001</v>
      </c>
      <c r="H119" s="10" t="s">
        <v>407</v>
      </c>
      <c r="I119" s="8" t="s">
        <v>404</v>
      </c>
      <c r="J119" s="9">
        <v>70</v>
      </c>
      <c r="K119" s="11" t="s">
        <v>405</v>
      </c>
      <c r="L119" s="11" t="s">
        <v>2</v>
      </c>
      <c r="M119" s="8">
        <v>11200</v>
      </c>
      <c r="N119" s="8">
        <v>850</v>
      </c>
      <c r="O119" s="11">
        <f>M119-N119</f>
        <v>10350</v>
      </c>
      <c r="P119" s="22">
        <v>8</v>
      </c>
      <c r="Q119" s="12">
        <f>P119/O119*1000</f>
        <v>0.77294685990338163</v>
      </c>
      <c r="R119" s="11" t="s">
        <v>40</v>
      </c>
      <c r="S119" s="8">
        <v>75</v>
      </c>
      <c r="T119" s="12">
        <f>S119/(O119/1000)</f>
        <v>7.2463768115942031</v>
      </c>
      <c r="U119" s="11"/>
      <c r="V119" s="11"/>
      <c r="W119" s="11" t="s">
        <v>403</v>
      </c>
      <c r="X119" s="9" t="s">
        <v>410</v>
      </c>
      <c r="Y119" s="9" t="s">
        <v>100</v>
      </c>
      <c r="Z119" s="8" t="s">
        <v>409</v>
      </c>
      <c r="AA119" s="9"/>
      <c r="AB119" s="9" t="s">
        <v>2347</v>
      </c>
      <c r="AC119" s="46" t="s">
        <v>2350</v>
      </c>
    </row>
    <row r="120" spans="1:29" ht="33.75" customHeight="1">
      <c r="A120" s="11"/>
      <c r="B120" s="8" t="s">
        <v>778</v>
      </c>
      <c r="C120" s="42">
        <v>518300</v>
      </c>
      <c r="D120" s="42">
        <v>203100</v>
      </c>
      <c r="E120" s="50" t="s">
        <v>2417</v>
      </c>
      <c r="F120" s="42">
        <v>51.714165000000001</v>
      </c>
      <c r="G120" s="42">
        <v>-0.28905567999999998</v>
      </c>
      <c r="H120" s="38" t="s">
        <v>1630</v>
      </c>
      <c r="I120" s="8" t="s">
        <v>1577</v>
      </c>
      <c r="J120" s="11">
        <v>70</v>
      </c>
      <c r="K120" s="11"/>
      <c r="L120" s="11"/>
      <c r="M120" s="8"/>
      <c r="N120" s="8"/>
      <c r="O120" s="11"/>
      <c r="P120" s="22">
        <v>0</v>
      </c>
      <c r="Q120" s="12"/>
      <c r="R120" s="11"/>
      <c r="S120" s="8">
        <v>11</v>
      </c>
      <c r="T120" s="12"/>
      <c r="U120" s="11"/>
      <c r="V120" s="11" t="s">
        <v>594</v>
      </c>
      <c r="W120" s="11"/>
      <c r="X120" s="11"/>
      <c r="Y120" s="11"/>
      <c r="Z120" s="8" t="s">
        <v>1582</v>
      </c>
      <c r="AA120" s="11"/>
      <c r="AB120" s="9" t="s">
        <v>2347</v>
      </c>
      <c r="AC120" s="46" t="s">
        <v>2350</v>
      </c>
    </row>
    <row r="121" spans="1:29" ht="33.75" customHeight="1">
      <c r="A121" s="11"/>
      <c r="B121" s="8" t="s">
        <v>778</v>
      </c>
      <c r="C121" s="42">
        <v>505900</v>
      </c>
      <c r="D121" s="42">
        <v>219200</v>
      </c>
      <c r="E121" s="50" t="s">
        <v>2417</v>
      </c>
      <c r="F121" s="42">
        <v>51.861344000000003</v>
      </c>
      <c r="G121" s="42">
        <v>-0.46355858999999999</v>
      </c>
      <c r="H121" s="38" t="s">
        <v>1581</v>
      </c>
      <c r="I121" s="8" t="s">
        <v>1579</v>
      </c>
      <c r="J121" s="11">
        <v>170</v>
      </c>
      <c r="K121" s="11"/>
      <c r="L121" s="11"/>
      <c r="M121" s="8"/>
      <c r="N121" s="8"/>
      <c r="O121" s="11"/>
      <c r="P121" s="22">
        <v>0</v>
      </c>
      <c r="Q121" s="12"/>
      <c r="R121" s="11"/>
      <c r="S121" s="8">
        <v>2</v>
      </c>
      <c r="T121" s="12"/>
      <c r="U121" s="11" t="s">
        <v>1580</v>
      </c>
      <c r="V121" s="11" t="s">
        <v>594</v>
      </c>
      <c r="W121" s="11"/>
      <c r="X121" s="11"/>
      <c r="Y121" s="11"/>
      <c r="Z121" s="8" t="s">
        <v>1582</v>
      </c>
      <c r="AA121" s="11"/>
      <c r="AB121" s="9" t="s">
        <v>2347</v>
      </c>
      <c r="AC121" s="46" t="s">
        <v>2350</v>
      </c>
    </row>
    <row r="122" spans="1:29" ht="33.75" customHeight="1">
      <c r="A122" s="9"/>
      <c r="B122" s="8" t="s">
        <v>778</v>
      </c>
      <c r="C122" s="42">
        <v>419700</v>
      </c>
      <c r="D122" s="42">
        <v>405900</v>
      </c>
      <c r="E122" s="48" t="s">
        <v>2418</v>
      </c>
      <c r="F122" s="42">
        <v>53.549368000000001</v>
      </c>
      <c r="G122" s="42">
        <v>-1.7041453</v>
      </c>
      <c r="H122" s="10" t="s">
        <v>779</v>
      </c>
      <c r="I122" s="8" t="s">
        <v>780</v>
      </c>
      <c r="J122" s="9">
        <v>310</v>
      </c>
      <c r="K122" s="11"/>
      <c r="L122" s="11" t="s">
        <v>781</v>
      </c>
      <c r="M122" s="8"/>
      <c r="N122" s="8"/>
      <c r="O122" s="11"/>
      <c r="P122" s="22">
        <v>0</v>
      </c>
      <c r="Q122" s="12"/>
      <c r="R122" s="11"/>
      <c r="S122" s="8">
        <v>16</v>
      </c>
      <c r="T122" s="12"/>
      <c r="U122" s="11"/>
      <c r="V122" s="11" t="s">
        <v>593</v>
      </c>
      <c r="W122" s="11"/>
      <c r="X122" s="9"/>
      <c r="Y122" s="9"/>
      <c r="Z122" s="8" t="s">
        <v>783</v>
      </c>
      <c r="AA122" s="9"/>
      <c r="AB122" s="9" t="s">
        <v>2347</v>
      </c>
      <c r="AC122" s="46" t="s">
        <v>2350</v>
      </c>
    </row>
    <row r="123" spans="1:29" ht="33.75" customHeight="1">
      <c r="A123" s="9"/>
      <c r="B123" s="8" t="s">
        <v>778</v>
      </c>
      <c r="C123" s="42">
        <v>419700</v>
      </c>
      <c r="D123" s="42">
        <v>405900</v>
      </c>
      <c r="E123" s="48" t="s">
        <v>2419</v>
      </c>
      <c r="F123" s="42">
        <v>53.549368000000001</v>
      </c>
      <c r="G123" s="42">
        <v>-1.7041453</v>
      </c>
      <c r="H123" s="10" t="s">
        <v>779</v>
      </c>
      <c r="I123" s="8" t="s">
        <v>780</v>
      </c>
      <c r="J123" s="9">
        <v>310</v>
      </c>
      <c r="K123" s="11"/>
      <c r="L123" s="11" t="s">
        <v>2</v>
      </c>
      <c r="M123" s="8"/>
      <c r="N123" s="8"/>
      <c r="O123" s="11"/>
      <c r="P123" s="22">
        <v>0</v>
      </c>
      <c r="Q123" s="12"/>
      <c r="R123" s="11"/>
      <c r="S123" s="8">
        <v>8</v>
      </c>
      <c r="T123" s="12"/>
      <c r="U123" s="11"/>
      <c r="V123" s="11" t="s">
        <v>593</v>
      </c>
      <c r="W123" s="11"/>
      <c r="X123" s="9"/>
      <c r="Y123" s="9"/>
      <c r="Z123" s="8" t="s">
        <v>782</v>
      </c>
      <c r="AA123" s="9"/>
      <c r="AB123" s="9" t="s">
        <v>2347</v>
      </c>
      <c r="AC123" s="46" t="s">
        <v>2350</v>
      </c>
    </row>
    <row r="124" spans="1:29" ht="33.75" customHeight="1">
      <c r="A124" s="11"/>
      <c r="B124" s="8" t="s">
        <v>1518</v>
      </c>
      <c r="C124" s="42">
        <v>231822</v>
      </c>
      <c r="D124" s="42">
        <v>490615</v>
      </c>
      <c r="E124" s="50" t="s">
        <v>2420</v>
      </c>
      <c r="F124" s="42">
        <v>54.283419000000002</v>
      </c>
      <c r="G124" s="42">
        <v>-4.5849450000000003</v>
      </c>
      <c r="H124" s="38" t="s">
        <v>1523</v>
      </c>
      <c r="I124" s="8" t="s">
        <v>1517</v>
      </c>
      <c r="J124" s="11">
        <v>2</v>
      </c>
      <c r="K124" s="11">
        <v>1</v>
      </c>
      <c r="L124" s="11"/>
      <c r="M124" s="8" t="s">
        <v>1519</v>
      </c>
      <c r="N124" s="8"/>
      <c r="O124" s="11"/>
      <c r="P124" s="22">
        <v>1</v>
      </c>
      <c r="Q124" s="12"/>
      <c r="R124" s="11"/>
      <c r="S124" s="8">
        <v>7</v>
      </c>
      <c r="T124" s="12"/>
      <c r="U124" s="11" t="s">
        <v>857</v>
      </c>
      <c r="V124" s="11" t="s">
        <v>593</v>
      </c>
      <c r="W124" s="11"/>
      <c r="X124" s="11"/>
      <c r="Y124" s="11"/>
      <c r="Z124" s="8" t="s">
        <v>1525</v>
      </c>
      <c r="AA124" s="11"/>
      <c r="AB124" s="9" t="s">
        <v>2347</v>
      </c>
      <c r="AC124" s="46" t="s">
        <v>2350</v>
      </c>
    </row>
    <row r="125" spans="1:29" ht="33.75" customHeight="1">
      <c r="A125" s="11"/>
      <c r="B125" s="8" t="s">
        <v>1518</v>
      </c>
      <c r="C125" s="42">
        <v>231822</v>
      </c>
      <c r="D125" s="42">
        <v>490615</v>
      </c>
      <c r="E125" s="50" t="s">
        <v>2420</v>
      </c>
      <c r="F125" s="42">
        <v>54.283419000000002</v>
      </c>
      <c r="G125" s="42">
        <v>-4.5849450000000003</v>
      </c>
      <c r="H125" s="38" t="s">
        <v>1523</v>
      </c>
      <c r="I125" s="8" t="s">
        <v>1517</v>
      </c>
      <c r="J125" s="11">
        <v>2</v>
      </c>
      <c r="K125" s="11">
        <v>2</v>
      </c>
      <c r="L125" s="11"/>
      <c r="M125" s="8"/>
      <c r="N125" s="8"/>
      <c r="O125" s="11"/>
      <c r="P125" s="22">
        <v>0</v>
      </c>
      <c r="Q125" s="12"/>
      <c r="R125" s="11"/>
      <c r="S125" s="8">
        <v>6</v>
      </c>
      <c r="T125" s="12"/>
      <c r="U125" s="11" t="s">
        <v>857</v>
      </c>
      <c r="V125" s="11" t="s">
        <v>593</v>
      </c>
      <c r="W125" s="11"/>
      <c r="X125" s="11"/>
      <c r="Y125" s="11"/>
      <c r="Z125" s="8" t="s">
        <v>1525</v>
      </c>
      <c r="AA125" s="11"/>
      <c r="AB125" s="9" t="s">
        <v>2347</v>
      </c>
      <c r="AC125" s="46" t="s">
        <v>2350</v>
      </c>
    </row>
    <row r="126" spans="1:29" ht="33.75" customHeight="1">
      <c r="A126" s="11"/>
      <c r="B126" s="8" t="s">
        <v>1518</v>
      </c>
      <c r="C126" s="42">
        <v>231822</v>
      </c>
      <c r="D126" s="42">
        <v>490615</v>
      </c>
      <c r="E126" s="50" t="s">
        <v>2420</v>
      </c>
      <c r="F126" s="42">
        <v>54.283419000000002</v>
      </c>
      <c r="G126" s="42">
        <v>-4.5849450000000003</v>
      </c>
      <c r="H126" s="38" t="s">
        <v>1523</v>
      </c>
      <c r="I126" s="8" t="s">
        <v>1517</v>
      </c>
      <c r="J126" s="11">
        <v>2</v>
      </c>
      <c r="K126" s="11">
        <v>3</v>
      </c>
      <c r="L126" s="11"/>
      <c r="M126" s="8" t="s">
        <v>1520</v>
      </c>
      <c r="N126" s="8" t="s">
        <v>1521</v>
      </c>
      <c r="O126" s="11">
        <f>9370-8300</f>
        <v>1070</v>
      </c>
      <c r="P126" s="22">
        <v>2</v>
      </c>
      <c r="Q126" s="12"/>
      <c r="R126" s="11"/>
      <c r="S126" s="8">
        <v>17</v>
      </c>
      <c r="T126" s="12"/>
      <c r="U126" s="11" t="s">
        <v>857</v>
      </c>
      <c r="V126" s="11" t="s">
        <v>593</v>
      </c>
      <c r="W126" s="11"/>
      <c r="X126" s="11"/>
      <c r="Y126" s="11"/>
      <c r="Z126" s="8" t="s">
        <v>1525</v>
      </c>
      <c r="AA126" s="11"/>
      <c r="AB126" s="9" t="s">
        <v>2347</v>
      </c>
      <c r="AC126" s="46" t="s">
        <v>2350</v>
      </c>
    </row>
    <row r="127" spans="1:29" ht="33.75" customHeight="1">
      <c r="A127" s="11"/>
      <c r="B127" s="8" t="s">
        <v>1518</v>
      </c>
      <c r="C127" s="42">
        <v>231822</v>
      </c>
      <c r="D127" s="42">
        <v>490615</v>
      </c>
      <c r="E127" s="50" t="s">
        <v>2420</v>
      </c>
      <c r="F127" s="42">
        <v>54.283419000000002</v>
      </c>
      <c r="G127" s="42">
        <v>-4.5849450000000003</v>
      </c>
      <c r="H127" s="38" t="s">
        <v>1523</v>
      </c>
      <c r="I127" s="8" t="s">
        <v>1517</v>
      </c>
      <c r="J127" s="11">
        <v>2</v>
      </c>
      <c r="K127" s="11">
        <v>5</v>
      </c>
      <c r="L127" s="11"/>
      <c r="M127" s="8" t="s">
        <v>1519</v>
      </c>
      <c r="N127" s="8"/>
      <c r="O127" s="11"/>
      <c r="P127" s="22">
        <v>1</v>
      </c>
      <c r="Q127" s="12"/>
      <c r="R127" s="11"/>
      <c r="S127" s="8">
        <v>1</v>
      </c>
      <c r="T127" s="12"/>
      <c r="U127" s="11" t="s">
        <v>857</v>
      </c>
      <c r="V127" s="11" t="s">
        <v>593</v>
      </c>
      <c r="W127" s="11"/>
      <c r="X127" s="11"/>
      <c r="Y127" s="11"/>
      <c r="Z127" s="8" t="s">
        <v>1525</v>
      </c>
      <c r="AA127" s="11"/>
      <c r="AB127" s="9" t="s">
        <v>2347</v>
      </c>
      <c r="AC127" s="46" t="s">
        <v>2350</v>
      </c>
    </row>
    <row r="128" spans="1:29" ht="33.75" customHeight="1">
      <c r="A128" s="11"/>
      <c r="B128" s="8" t="s">
        <v>1518</v>
      </c>
      <c r="C128" s="42">
        <v>234342</v>
      </c>
      <c r="D128" s="42">
        <v>493497</v>
      </c>
      <c r="E128" s="50" t="s">
        <v>2420</v>
      </c>
      <c r="F128" s="42">
        <v>54.310118000000003</v>
      </c>
      <c r="G128" s="42">
        <v>-4.5478752</v>
      </c>
      <c r="H128" s="38" t="s">
        <v>1524</v>
      </c>
      <c r="I128" s="8" t="s">
        <v>1522</v>
      </c>
      <c r="J128" s="11">
        <v>2</v>
      </c>
      <c r="K128" s="11"/>
      <c r="L128" s="11"/>
      <c r="M128" s="8"/>
      <c r="N128" s="8"/>
      <c r="O128" s="11"/>
      <c r="P128" s="22">
        <v>0</v>
      </c>
      <c r="Q128" s="12"/>
      <c r="R128" s="11"/>
      <c r="S128" s="8">
        <v>15</v>
      </c>
      <c r="T128" s="12"/>
      <c r="U128" s="11" t="s">
        <v>857</v>
      </c>
      <c r="V128" s="11" t="s">
        <v>593</v>
      </c>
      <c r="W128" s="11"/>
      <c r="X128" s="11"/>
      <c r="Y128" s="11"/>
      <c r="Z128" s="8" t="s">
        <v>1525</v>
      </c>
      <c r="AA128" s="11"/>
      <c r="AB128" s="9" t="s">
        <v>2347</v>
      </c>
      <c r="AC128" s="46" t="s">
        <v>2350</v>
      </c>
    </row>
    <row r="129" spans="1:29" s="43" customFormat="1" ht="33.75" customHeight="1">
      <c r="A129" s="11"/>
      <c r="B129" s="8" t="s">
        <v>1518</v>
      </c>
      <c r="C129" s="42">
        <v>234800</v>
      </c>
      <c r="D129" s="42">
        <v>494600</v>
      </c>
      <c r="E129" s="50" t="s">
        <v>2421</v>
      </c>
      <c r="F129" s="42">
        <v>54.320169</v>
      </c>
      <c r="G129" s="42">
        <v>-4.5414535000000003</v>
      </c>
      <c r="H129" s="26" t="s">
        <v>1550</v>
      </c>
      <c r="I129" s="8" t="s">
        <v>1544</v>
      </c>
      <c r="J129" s="11">
        <v>20</v>
      </c>
      <c r="K129" s="11"/>
      <c r="L129" s="11"/>
      <c r="M129" s="8" t="s">
        <v>1546</v>
      </c>
      <c r="N129" s="8" t="s">
        <v>1547</v>
      </c>
      <c r="O129" s="11">
        <f>9450-9320</f>
        <v>130</v>
      </c>
      <c r="P129" s="22">
        <v>2</v>
      </c>
      <c r="Q129" s="12"/>
      <c r="R129" s="11"/>
      <c r="S129" s="8">
        <v>18</v>
      </c>
      <c r="T129" s="12"/>
      <c r="U129" s="11" t="s">
        <v>857</v>
      </c>
      <c r="V129" s="11" t="s">
        <v>594</v>
      </c>
      <c r="W129" s="11"/>
      <c r="X129" s="11"/>
      <c r="Y129" s="11"/>
      <c r="Z129" s="8" t="s">
        <v>1551</v>
      </c>
      <c r="AA129" s="11"/>
      <c r="AB129" s="9" t="s">
        <v>2347</v>
      </c>
      <c r="AC129" s="46" t="s">
        <v>2350</v>
      </c>
    </row>
    <row r="130" spans="1:29" ht="33.75" customHeight="1">
      <c r="A130" s="11"/>
      <c r="B130" s="8" t="s">
        <v>1518</v>
      </c>
      <c r="C130" s="42">
        <v>241050</v>
      </c>
      <c r="D130" s="42">
        <v>501950</v>
      </c>
      <c r="E130" s="50" t="s">
        <v>2421</v>
      </c>
      <c r="F130" s="42">
        <v>54.388148999999999</v>
      </c>
      <c r="G130" s="42">
        <v>-4.4493834000000003</v>
      </c>
      <c r="H130" s="26" t="s">
        <v>1631</v>
      </c>
      <c r="I130" s="8" t="s">
        <v>1545</v>
      </c>
      <c r="J130" s="11">
        <v>20</v>
      </c>
      <c r="K130" s="11"/>
      <c r="L130" s="11"/>
      <c r="M130" s="8" t="s">
        <v>1548</v>
      </c>
      <c r="N130" s="8" t="s">
        <v>1549</v>
      </c>
      <c r="O130" s="11">
        <f>9275-8870</f>
        <v>405</v>
      </c>
      <c r="P130" s="22">
        <v>2</v>
      </c>
      <c r="Q130" s="12"/>
      <c r="R130" s="11"/>
      <c r="S130" s="8">
        <v>8</v>
      </c>
      <c r="T130" s="12"/>
      <c r="U130" s="11" t="s">
        <v>857</v>
      </c>
      <c r="V130" s="11" t="s">
        <v>594</v>
      </c>
      <c r="W130" s="11"/>
      <c r="X130" s="11"/>
      <c r="Y130" s="11"/>
      <c r="Z130" s="8" t="s">
        <v>1551</v>
      </c>
      <c r="AA130" s="11"/>
      <c r="AB130" s="9" t="s">
        <v>2347</v>
      </c>
      <c r="AC130" s="46" t="s">
        <v>2350</v>
      </c>
    </row>
    <row r="131" spans="1:29" ht="33.75" customHeight="1">
      <c r="A131" s="11"/>
      <c r="B131" s="8" t="s">
        <v>1738</v>
      </c>
      <c r="C131" s="42">
        <v>94000</v>
      </c>
      <c r="D131" s="42">
        <v>15800</v>
      </c>
      <c r="E131" s="50" t="s">
        <v>2422</v>
      </c>
      <c r="F131" s="42">
        <v>49.963751000000002</v>
      </c>
      <c r="G131" s="42">
        <v>-6.2684303000000003</v>
      </c>
      <c r="H131" s="38" t="s">
        <v>1555</v>
      </c>
      <c r="I131" s="8" t="s">
        <v>1552</v>
      </c>
      <c r="J131" s="11">
        <v>10</v>
      </c>
      <c r="K131" s="11"/>
      <c r="L131" s="11"/>
      <c r="M131" s="8" t="s">
        <v>1554</v>
      </c>
      <c r="N131" s="8" t="s">
        <v>1553</v>
      </c>
      <c r="O131" s="11">
        <f>9670-7830</f>
        <v>1840</v>
      </c>
      <c r="P131" s="22">
        <v>3</v>
      </c>
      <c r="Q131" s="12"/>
      <c r="R131" s="11"/>
      <c r="S131" s="8">
        <v>10</v>
      </c>
      <c r="T131" s="12"/>
      <c r="U131" s="11" t="s">
        <v>857</v>
      </c>
      <c r="V131" s="11"/>
      <c r="W131" s="11"/>
      <c r="X131" s="11"/>
      <c r="Y131" s="11"/>
      <c r="Z131" s="8" t="s">
        <v>1556</v>
      </c>
      <c r="AA131" s="11"/>
      <c r="AB131" s="9" t="s">
        <v>2347</v>
      </c>
      <c r="AC131" s="46" t="s">
        <v>2350</v>
      </c>
    </row>
    <row r="132" spans="1:29" ht="33.75" customHeight="1">
      <c r="A132" s="11"/>
      <c r="B132" s="8" t="s">
        <v>111</v>
      </c>
      <c r="C132" s="42">
        <v>636400</v>
      </c>
      <c r="D132" s="42">
        <v>153800</v>
      </c>
      <c r="E132" s="50" t="s">
        <v>2423</v>
      </c>
      <c r="F132" s="42">
        <v>51.234381999999997</v>
      </c>
      <c r="G132" s="42">
        <v>1.3850108000000001</v>
      </c>
      <c r="H132" s="38" t="s">
        <v>1605</v>
      </c>
      <c r="I132" s="8" t="s">
        <v>1599</v>
      </c>
      <c r="J132" s="11">
        <v>10</v>
      </c>
      <c r="K132" s="11" t="s">
        <v>1600</v>
      </c>
      <c r="L132" s="11"/>
      <c r="M132" s="8" t="s">
        <v>1602</v>
      </c>
      <c r="N132" s="8" t="s">
        <v>1601</v>
      </c>
      <c r="O132" s="11">
        <f>5765-4020</f>
        <v>1745</v>
      </c>
      <c r="P132" s="22">
        <v>6</v>
      </c>
      <c r="Q132" s="12"/>
      <c r="R132" s="11"/>
      <c r="S132" s="8">
        <v>16</v>
      </c>
      <c r="T132" s="12"/>
      <c r="U132" s="11"/>
      <c r="V132" s="11"/>
      <c r="W132" s="11"/>
      <c r="X132" s="11"/>
      <c r="Y132" s="11"/>
      <c r="Z132" s="8" t="s">
        <v>1604</v>
      </c>
      <c r="AA132" s="11" t="s">
        <v>1603</v>
      </c>
      <c r="AB132" s="9" t="s">
        <v>2347</v>
      </c>
      <c r="AC132" s="46" t="s">
        <v>2350</v>
      </c>
    </row>
    <row r="133" spans="1:29" ht="33.75" customHeight="1">
      <c r="A133" s="11"/>
      <c r="B133" s="8" t="s">
        <v>111</v>
      </c>
      <c r="C133" s="42">
        <v>636400</v>
      </c>
      <c r="D133" s="42">
        <v>153800</v>
      </c>
      <c r="E133" s="50" t="s">
        <v>2423</v>
      </c>
      <c r="F133" s="42">
        <v>51.234381999999997</v>
      </c>
      <c r="G133" s="42">
        <v>1.3850108000000001</v>
      </c>
      <c r="H133" s="38" t="s">
        <v>1605</v>
      </c>
      <c r="I133" s="8" t="s">
        <v>1599</v>
      </c>
      <c r="J133" s="11">
        <v>10</v>
      </c>
      <c r="K133" s="11" t="s">
        <v>1610</v>
      </c>
      <c r="L133" s="11"/>
      <c r="M133" s="8"/>
      <c r="N133" s="8"/>
      <c r="O133" s="11"/>
      <c r="P133" s="22">
        <v>0</v>
      </c>
      <c r="Q133" s="12"/>
      <c r="R133" s="11"/>
      <c r="S133" s="8">
        <v>12</v>
      </c>
      <c r="T133" s="12"/>
      <c r="U133" s="11"/>
      <c r="V133" s="11"/>
      <c r="W133" s="11"/>
      <c r="X133" s="11"/>
      <c r="Y133" s="11"/>
      <c r="Z133" s="8" t="s">
        <v>1603</v>
      </c>
      <c r="AA133" s="11"/>
      <c r="AB133" s="9" t="s">
        <v>2347</v>
      </c>
      <c r="AC133" s="46" t="s">
        <v>2350</v>
      </c>
    </row>
    <row r="134" spans="1:29" ht="33.75" customHeight="1">
      <c r="A134" s="11"/>
      <c r="B134" s="8" t="s">
        <v>111</v>
      </c>
      <c r="C134" s="42">
        <v>633750</v>
      </c>
      <c r="D134" s="42">
        <v>154300</v>
      </c>
      <c r="E134" s="50" t="s">
        <v>2423</v>
      </c>
      <c r="F134" s="42">
        <v>51.239961999999998</v>
      </c>
      <c r="G134" s="42">
        <v>1.3474459000000001</v>
      </c>
      <c r="H134" s="38" t="s">
        <v>1614</v>
      </c>
      <c r="I134" s="8" t="s">
        <v>1612</v>
      </c>
      <c r="J134" s="11">
        <v>10</v>
      </c>
      <c r="K134" s="11" t="s">
        <v>1606</v>
      </c>
      <c r="L134" s="11"/>
      <c r="M134" s="8"/>
      <c r="N134" s="8"/>
      <c r="O134" s="11"/>
      <c r="P134" s="22">
        <v>0</v>
      </c>
      <c r="Q134" s="12"/>
      <c r="R134" s="11"/>
      <c r="S134" s="8">
        <v>46</v>
      </c>
      <c r="T134" s="12"/>
      <c r="U134" s="11"/>
      <c r="V134" s="11"/>
      <c r="W134" s="11"/>
      <c r="X134" s="11"/>
      <c r="Y134" s="11"/>
      <c r="Z134" s="8" t="s">
        <v>1603</v>
      </c>
      <c r="AA134" s="11"/>
      <c r="AB134" s="9" t="s">
        <v>2347</v>
      </c>
      <c r="AC134" s="46" t="s">
        <v>2350</v>
      </c>
    </row>
    <row r="135" spans="1:29" ht="33.75" customHeight="1">
      <c r="A135" s="11"/>
      <c r="B135" s="8" t="s">
        <v>111</v>
      </c>
      <c r="C135" s="42">
        <v>633750</v>
      </c>
      <c r="D135" s="42">
        <v>154300</v>
      </c>
      <c r="E135" s="50" t="s">
        <v>2423</v>
      </c>
      <c r="F135" s="42">
        <v>51.239961999999998</v>
      </c>
      <c r="G135" s="42">
        <v>1.3474459000000001</v>
      </c>
      <c r="H135" s="38" t="s">
        <v>1614</v>
      </c>
      <c r="I135" s="8" t="s">
        <v>1612</v>
      </c>
      <c r="J135" s="11">
        <v>10</v>
      </c>
      <c r="K135" s="11" t="s">
        <v>1607</v>
      </c>
      <c r="L135" s="11"/>
      <c r="M135" s="8"/>
      <c r="N135" s="8"/>
      <c r="O135" s="11"/>
      <c r="P135" s="22">
        <v>0</v>
      </c>
      <c r="Q135" s="12"/>
      <c r="R135" s="11"/>
      <c r="S135" s="8">
        <v>26</v>
      </c>
      <c r="T135" s="12"/>
      <c r="U135" s="11"/>
      <c r="V135" s="11"/>
      <c r="W135" s="11"/>
      <c r="X135" s="11"/>
      <c r="Y135" s="11"/>
      <c r="Z135" s="8" t="s">
        <v>1603</v>
      </c>
      <c r="AA135" s="11"/>
      <c r="AB135" s="9" t="s">
        <v>2347</v>
      </c>
      <c r="AC135" s="46" t="s">
        <v>2350</v>
      </c>
    </row>
    <row r="136" spans="1:29" ht="33.75" customHeight="1">
      <c r="A136" s="11"/>
      <c r="B136" s="8" t="s">
        <v>111</v>
      </c>
      <c r="C136" s="42">
        <v>635900</v>
      </c>
      <c r="D136" s="42">
        <v>153300</v>
      </c>
      <c r="E136" s="50" t="s">
        <v>2423</v>
      </c>
      <c r="F136" s="42">
        <v>51.230100999999998</v>
      </c>
      <c r="G136" s="42">
        <v>1.3775328</v>
      </c>
      <c r="H136" s="38" t="s">
        <v>1613</v>
      </c>
      <c r="I136" s="8" t="s">
        <v>1611</v>
      </c>
      <c r="J136" s="11">
        <v>10</v>
      </c>
      <c r="K136" s="11" t="s">
        <v>1608</v>
      </c>
      <c r="L136" s="11"/>
      <c r="M136" s="8" t="s">
        <v>1602</v>
      </c>
      <c r="N136" s="8" t="s">
        <v>1609</v>
      </c>
      <c r="O136" s="11">
        <f>5765-3900</f>
        <v>1865</v>
      </c>
      <c r="P136" s="22">
        <v>2</v>
      </c>
      <c r="Q136" s="12"/>
      <c r="R136" s="11"/>
      <c r="S136" s="8">
        <v>22</v>
      </c>
      <c r="T136" s="12"/>
      <c r="U136" s="11"/>
      <c r="V136" s="11"/>
      <c r="W136" s="11"/>
      <c r="X136" s="11"/>
      <c r="Y136" s="11"/>
      <c r="Z136" s="8" t="s">
        <v>1603</v>
      </c>
      <c r="AA136" s="11"/>
      <c r="AB136" s="9" t="s">
        <v>2347</v>
      </c>
      <c r="AC136" s="46" t="s">
        <v>2350</v>
      </c>
    </row>
    <row r="137" spans="1:29" ht="33.75" customHeight="1">
      <c r="A137" s="11">
        <v>21</v>
      </c>
      <c r="B137" s="8" t="s">
        <v>111</v>
      </c>
      <c r="C137" s="42">
        <v>603420</v>
      </c>
      <c r="D137" s="42">
        <v>117220</v>
      </c>
      <c r="E137" s="46" t="s">
        <v>2424</v>
      </c>
      <c r="F137" s="42">
        <v>50.918576000000002</v>
      </c>
      <c r="G137" s="42">
        <v>0.89270923999999996</v>
      </c>
      <c r="H137" s="10" t="s">
        <v>289</v>
      </c>
      <c r="I137" s="8" t="s">
        <v>90</v>
      </c>
      <c r="J137" s="9">
        <v>4</v>
      </c>
      <c r="K137" s="11" t="s">
        <v>89</v>
      </c>
      <c r="L137" s="11" t="s">
        <v>2</v>
      </c>
      <c r="M137" s="8" t="s">
        <v>1487</v>
      </c>
      <c r="N137" s="8" t="s">
        <v>1486</v>
      </c>
      <c r="O137" s="11">
        <v>1310</v>
      </c>
      <c r="P137" s="22">
        <v>3</v>
      </c>
      <c r="Q137" s="12">
        <f>P137/O137*1000</f>
        <v>2.2900763358778629</v>
      </c>
      <c r="R137" s="11" t="s">
        <v>40</v>
      </c>
      <c r="S137" s="8">
        <v>20</v>
      </c>
      <c r="T137" s="12">
        <f>S137/(O137/1000)</f>
        <v>15.267175572519083</v>
      </c>
      <c r="U137" s="11"/>
      <c r="V137" s="11"/>
      <c r="W137" s="11" t="s">
        <v>26</v>
      </c>
      <c r="X137" s="9" t="s">
        <v>41</v>
      </c>
      <c r="Y137" s="9" t="s">
        <v>42</v>
      </c>
      <c r="Z137" s="8" t="s">
        <v>619</v>
      </c>
      <c r="AA137" s="9"/>
      <c r="AB137" s="9" t="s">
        <v>2347</v>
      </c>
      <c r="AC137" s="46" t="s">
        <v>2350</v>
      </c>
    </row>
    <row r="138" spans="1:29" ht="33.75" customHeight="1">
      <c r="A138" s="11">
        <v>26</v>
      </c>
      <c r="B138" s="8" t="s">
        <v>111</v>
      </c>
      <c r="C138" s="42">
        <v>606200</v>
      </c>
      <c r="D138" s="42">
        <v>117600</v>
      </c>
      <c r="E138" s="46" t="s">
        <v>2425</v>
      </c>
      <c r="F138" s="42">
        <v>50.921002999999999</v>
      </c>
      <c r="G138" s="42">
        <v>0.93242029999999998</v>
      </c>
      <c r="H138" s="10" t="s">
        <v>1498</v>
      </c>
      <c r="I138" s="8" t="s">
        <v>324</v>
      </c>
      <c r="J138" s="9">
        <v>1</v>
      </c>
      <c r="K138" s="11" t="s">
        <v>95</v>
      </c>
      <c r="L138" s="11" t="s">
        <v>2</v>
      </c>
      <c r="M138" s="8">
        <v>930</v>
      </c>
      <c r="N138" s="8">
        <v>841</v>
      </c>
      <c r="O138" s="11">
        <f>M138-N138</f>
        <v>89</v>
      </c>
      <c r="P138" s="22">
        <v>2</v>
      </c>
      <c r="Q138" s="12">
        <f>P138/O138*1000</f>
        <v>22.471910112359549</v>
      </c>
      <c r="R138" s="11" t="s">
        <v>40</v>
      </c>
      <c r="S138" s="8">
        <v>24</v>
      </c>
      <c r="T138" s="12">
        <f>S138/(O138/1000)</f>
        <v>269.66292134831463</v>
      </c>
      <c r="U138" s="11"/>
      <c r="V138" s="11"/>
      <c r="W138" s="11" t="s">
        <v>33</v>
      </c>
      <c r="X138" s="9" t="s">
        <v>41</v>
      </c>
      <c r="Y138" s="9" t="s">
        <v>42</v>
      </c>
      <c r="Z138" s="8" t="s">
        <v>158</v>
      </c>
      <c r="AA138" s="9"/>
      <c r="AB138" s="9" t="s">
        <v>2347</v>
      </c>
      <c r="AC138" s="46" t="s">
        <v>2350</v>
      </c>
    </row>
    <row r="139" spans="1:29" ht="33.75" customHeight="1">
      <c r="A139" s="11"/>
      <c r="B139" s="8" t="s">
        <v>111</v>
      </c>
      <c r="C139" s="42">
        <v>599000</v>
      </c>
      <c r="D139" s="42">
        <v>125720</v>
      </c>
      <c r="E139" s="46" t="s">
        <v>2424</v>
      </c>
      <c r="F139" s="42">
        <v>50.996456999999999</v>
      </c>
      <c r="G139" s="42">
        <v>0.83455234</v>
      </c>
      <c r="H139" s="10" t="s">
        <v>854</v>
      </c>
      <c r="I139" s="8" t="s">
        <v>850</v>
      </c>
      <c r="J139" s="9">
        <v>3</v>
      </c>
      <c r="K139" s="11">
        <v>40</v>
      </c>
      <c r="L139" s="11"/>
      <c r="M139" s="8" t="s">
        <v>852</v>
      </c>
      <c r="N139" s="8" t="s">
        <v>853</v>
      </c>
      <c r="O139" s="11">
        <f>4367-1846</f>
        <v>2521</v>
      </c>
      <c r="P139" s="22">
        <v>2</v>
      </c>
      <c r="Q139" s="12">
        <f>P139/O139*1000</f>
        <v>0.79333597778659259</v>
      </c>
      <c r="R139" s="11"/>
      <c r="S139" s="8">
        <v>30</v>
      </c>
      <c r="T139" s="12">
        <f>S139/(O139/1000)</f>
        <v>11.900039666798889</v>
      </c>
      <c r="U139" s="11" t="s">
        <v>858</v>
      </c>
      <c r="V139" s="11" t="s">
        <v>594</v>
      </c>
      <c r="W139" s="11"/>
      <c r="X139" s="9"/>
      <c r="Y139" s="9"/>
      <c r="Z139" s="8" t="s">
        <v>855</v>
      </c>
      <c r="AA139" s="9"/>
      <c r="AB139" s="9" t="s">
        <v>2347</v>
      </c>
      <c r="AC139" s="46" t="s">
        <v>2350</v>
      </c>
    </row>
    <row r="140" spans="1:29" ht="33.75" customHeight="1">
      <c r="A140" s="9"/>
      <c r="B140" s="8" t="s">
        <v>111</v>
      </c>
      <c r="C140" s="42">
        <v>602860</v>
      </c>
      <c r="D140" s="42">
        <v>122860</v>
      </c>
      <c r="E140" s="48" t="s">
        <v>2426</v>
      </c>
      <c r="F140" s="42">
        <v>50.969425000000001</v>
      </c>
      <c r="G140" s="42">
        <v>0.88789156999999996</v>
      </c>
      <c r="H140" s="10" t="s">
        <v>866</v>
      </c>
      <c r="I140" s="8" t="s">
        <v>856</v>
      </c>
      <c r="J140" s="9">
        <v>1.8</v>
      </c>
      <c r="K140" s="11" t="s">
        <v>864</v>
      </c>
      <c r="L140" s="11"/>
      <c r="M140" s="8" t="s">
        <v>859</v>
      </c>
      <c r="N140" s="8"/>
      <c r="O140" s="11"/>
      <c r="P140" s="22">
        <v>1</v>
      </c>
      <c r="Q140" s="12"/>
      <c r="R140" s="11"/>
      <c r="S140" s="8">
        <v>10</v>
      </c>
      <c r="T140" s="12"/>
      <c r="U140" s="11" t="s">
        <v>857</v>
      </c>
      <c r="V140" s="11" t="s">
        <v>594</v>
      </c>
      <c r="W140" s="11"/>
      <c r="X140" s="9"/>
      <c r="Y140" s="9"/>
      <c r="Z140" s="8" t="s">
        <v>869</v>
      </c>
      <c r="AA140" s="9"/>
      <c r="AB140" s="9" t="s">
        <v>2347</v>
      </c>
      <c r="AC140" s="46" t="s">
        <v>2350</v>
      </c>
    </row>
    <row r="141" spans="1:29" ht="33.75" customHeight="1">
      <c r="A141" s="9"/>
      <c r="B141" s="8" t="s">
        <v>111</v>
      </c>
      <c r="C141" s="42">
        <v>602760</v>
      </c>
      <c r="D141" s="42">
        <v>122630</v>
      </c>
      <c r="E141" s="48" t="s">
        <v>2426</v>
      </c>
      <c r="F141" s="42">
        <v>50.967395000000003</v>
      </c>
      <c r="G141" s="42">
        <v>0.88634111999999998</v>
      </c>
      <c r="H141" s="10" t="s">
        <v>868</v>
      </c>
      <c r="I141" s="8" t="s">
        <v>856</v>
      </c>
      <c r="J141" s="9">
        <v>3.1</v>
      </c>
      <c r="K141" s="11" t="s">
        <v>865</v>
      </c>
      <c r="L141" s="11"/>
      <c r="M141" s="8" t="s">
        <v>860</v>
      </c>
      <c r="N141" s="8"/>
      <c r="O141" s="11"/>
      <c r="P141" s="22">
        <v>1</v>
      </c>
      <c r="Q141" s="12"/>
      <c r="R141" s="11"/>
      <c r="S141" s="8">
        <v>7</v>
      </c>
      <c r="T141" s="12"/>
      <c r="U141" s="11" t="s">
        <v>857</v>
      </c>
      <c r="V141" s="11" t="s">
        <v>594</v>
      </c>
      <c r="W141" s="11"/>
      <c r="X141" s="9"/>
      <c r="Y141" s="9"/>
      <c r="Z141" s="8" t="s">
        <v>869</v>
      </c>
      <c r="AA141" s="9"/>
      <c r="AB141" s="9" t="s">
        <v>2347</v>
      </c>
      <c r="AC141" s="46" t="s">
        <v>2350</v>
      </c>
    </row>
    <row r="142" spans="1:29" ht="33.75" customHeight="1">
      <c r="A142" s="9"/>
      <c r="B142" s="8" t="s">
        <v>111</v>
      </c>
      <c r="C142" s="42">
        <v>602620</v>
      </c>
      <c r="D142" s="42">
        <v>122860</v>
      </c>
      <c r="E142" s="48" t="s">
        <v>2426</v>
      </c>
      <c r="F142" s="42">
        <v>50.96951</v>
      </c>
      <c r="G142" s="42">
        <v>0.88447796999999995</v>
      </c>
      <c r="H142" s="10" t="s">
        <v>867</v>
      </c>
      <c r="I142" s="8" t="s">
        <v>856</v>
      </c>
      <c r="J142" s="9">
        <v>1.9</v>
      </c>
      <c r="K142" s="11" t="s">
        <v>863</v>
      </c>
      <c r="L142" s="11"/>
      <c r="M142" s="8" t="s">
        <v>861</v>
      </c>
      <c r="N142" s="8" t="s">
        <v>862</v>
      </c>
      <c r="O142" s="11">
        <f>3054-2762</f>
        <v>292</v>
      </c>
      <c r="P142" s="22">
        <v>2</v>
      </c>
      <c r="Q142" s="12">
        <f>P142/O142*1000</f>
        <v>6.8493150684931505</v>
      </c>
      <c r="R142" s="11"/>
      <c r="S142" s="8">
        <v>14</v>
      </c>
      <c r="T142" s="12">
        <f>S142/(O142/1000)</f>
        <v>47.945205479452056</v>
      </c>
      <c r="U142" s="11" t="s">
        <v>857</v>
      </c>
      <c r="V142" s="11" t="s">
        <v>594</v>
      </c>
      <c r="W142" s="11"/>
      <c r="X142" s="9"/>
      <c r="Y142" s="9"/>
      <c r="Z142" s="8" t="s">
        <v>869</v>
      </c>
      <c r="AA142" s="9"/>
      <c r="AB142" s="9" t="s">
        <v>2347</v>
      </c>
      <c r="AC142" s="46" t="s">
        <v>2350</v>
      </c>
    </row>
    <row r="143" spans="1:29" ht="33.75" customHeight="1">
      <c r="A143" s="9"/>
      <c r="B143" s="8" t="s">
        <v>111</v>
      </c>
      <c r="C143" s="42">
        <v>592950</v>
      </c>
      <c r="D143" s="42">
        <v>130150</v>
      </c>
      <c r="E143" s="48" t="s">
        <v>2427</v>
      </c>
      <c r="F143" s="42">
        <v>51.038305999999999</v>
      </c>
      <c r="G143" s="42">
        <v>0.75079711000000005</v>
      </c>
      <c r="H143" s="10" t="s">
        <v>871</v>
      </c>
      <c r="I143" s="8" t="s">
        <v>870</v>
      </c>
      <c r="J143" s="9">
        <v>3</v>
      </c>
      <c r="K143" s="11"/>
      <c r="L143" s="11"/>
      <c r="M143" s="8" t="s">
        <v>872</v>
      </c>
      <c r="N143" s="8" t="s">
        <v>873</v>
      </c>
      <c r="O143" s="11">
        <f>5400-3390</f>
        <v>2010</v>
      </c>
      <c r="P143" s="22">
        <v>3</v>
      </c>
      <c r="Q143" s="12">
        <f>P143/O143*1000</f>
        <v>1.4925373134328359</v>
      </c>
      <c r="R143" s="11"/>
      <c r="S143" s="8">
        <v>37</v>
      </c>
      <c r="T143" s="12">
        <f>S143/(O143/1000)</f>
        <v>18.407960199004979</v>
      </c>
      <c r="U143" s="11" t="s">
        <v>857</v>
      </c>
      <c r="V143" s="11" t="s">
        <v>594</v>
      </c>
      <c r="W143" s="11"/>
      <c r="X143" s="9"/>
      <c r="Y143" s="9"/>
      <c r="Z143" s="8" t="s">
        <v>874</v>
      </c>
      <c r="AA143" s="9"/>
      <c r="AB143" s="9" t="s">
        <v>2347</v>
      </c>
      <c r="AC143" s="46" t="s">
        <v>2350</v>
      </c>
    </row>
    <row r="144" spans="1:29" ht="33.75" customHeight="1">
      <c r="A144" s="9"/>
      <c r="B144" s="8" t="s">
        <v>111</v>
      </c>
      <c r="C144" s="42">
        <v>605000</v>
      </c>
      <c r="D144" s="42">
        <v>133920</v>
      </c>
      <c r="E144" s="48" t="s">
        <v>2428</v>
      </c>
      <c r="F144" s="42">
        <v>51.067993000000001</v>
      </c>
      <c r="G144" s="42">
        <v>0.92457511999999997</v>
      </c>
      <c r="H144" s="10" t="s">
        <v>880</v>
      </c>
      <c r="I144" s="8" t="s">
        <v>851</v>
      </c>
      <c r="J144" s="9">
        <v>2.5</v>
      </c>
      <c r="K144" s="11" t="s">
        <v>875</v>
      </c>
      <c r="L144" s="11"/>
      <c r="M144" s="8" t="s">
        <v>878</v>
      </c>
      <c r="N144" s="8" t="s">
        <v>877</v>
      </c>
      <c r="O144" s="11">
        <f>4070-2290</f>
        <v>1780</v>
      </c>
      <c r="P144" s="22">
        <v>3</v>
      </c>
      <c r="Q144" s="12">
        <f>P144/O144*1000</f>
        <v>1.6853932584269664</v>
      </c>
      <c r="R144" s="11"/>
      <c r="S144" s="8">
        <v>24</v>
      </c>
      <c r="T144" s="12">
        <f>S144/(O144/1000)</f>
        <v>13.48314606741573</v>
      </c>
      <c r="U144" s="11" t="s">
        <v>857</v>
      </c>
      <c r="V144" s="11" t="s">
        <v>594</v>
      </c>
      <c r="W144" s="11"/>
      <c r="X144" s="9"/>
      <c r="Y144" s="9"/>
      <c r="Z144" s="8" t="s">
        <v>883</v>
      </c>
      <c r="AA144" s="9"/>
      <c r="AB144" s="9" t="s">
        <v>2347</v>
      </c>
      <c r="AC144" s="46" t="s">
        <v>2350</v>
      </c>
    </row>
    <row r="145" spans="1:29" ht="33.75" customHeight="1">
      <c r="A145" s="9"/>
      <c r="B145" s="8" t="s">
        <v>111</v>
      </c>
      <c r="C145" s="42">
        <v>605020</v>
      </c>
      <c r="D145" s="42">
        <v>132800</v>
      </c>
      <c r="E145" s="48" t="s">
        <v>2428</v>
      </c>
      <c r="F145" s="42">
        <v>51.057927999999997</v>
      </c>
      <c r="G145" s="42">
        <v>0.92422596999999995</v>
      </c>
      <c r="H145" s="10" t="s">
        <v>881</v>
      </c>
      <c r="I145" s="8" t="s">
        <v>851</v>
      </c>
      <c r="J145" s="9">
        <v>2.5</v>
      </c>
      <c r="K145" s="11" t="s">
        <v>876</v>
      </c>
      <c r="L145" s="11"/>
      <c r="M145" s="8" t="s">
        <v>879</v>
      </c>
      <c r="N145" s="8" t="s">
        <v>882</v>
      </c>
      <c r="O145" s="11">
        <f>3250-2910</f>
        <v>340</v>
      </c>
      <c r="P145" s="22">
        <v>3</v>
      </c>
      <c r="Q145" s="12">
        <f>P145/O145*1000</f>
        <v>8.8235294117647065</v>
      </c>
      <c r="R145" s="11"/>
      <c r="S145" s="8">
        <v>20</v>
      </c>
      <c r="T145" s="12">
        <f>S145/(O145/1000)</f>
        <v>58.823529411764703</v>
      </c>
      <c r="U145" s="11" t="s">
        <v>857</v>
      </c>
      <c r="V145" s="11" t="s">
        <v>594</v>
      </c>
      <c r="W145" s="11"/>
      <c r="X145" s="9"/>
      <c r="Y145" s="9"/>
      <c r="Z145" s="8" t="s">
        <v>883</v>
      </c>
      <c r="AA145" s="9"/>
      <c r="AB145" s="9" t="s">
        <v>2347</v>
      </c>
      <c r="AC145" s="46" t="s">
        <v>2350</v>
      </c>
    </row>
    <row r="146" spans="1:29" ht="33.75" customHeight="1">
      <c r="A146" s="9"/>
      <c r="B146" s="8" t="s">
        <v>111</v>
      </c>
      <c r="C146" s="42">
        <v>598342</v>
      </c>
      <c r="D146" s="42">
        <v>130410</v>
      </c>
      <c r="E146" s="46" t="s">
        <v>2429</v>
      </c>
      <c r="F146" s="42">
        <v>51.038806000000001</v>
      </c>
      <c r="G146" s="42">
        <v>0.82775012000000003</v>
      </c>
      <c r="H146" s="10" t="s">
        <v>1572</v>
      </c>
      <c r="I146" s="8" t="s">
        <v>1561</v>
      </c>
      <c r="J146" s="9">
        <v>-1</v>
      </c>
      <c r="K146" s="11"/>
      <c r="L146" s="11" t="s">
        <v>1328</v>
      </c>
      <c r="M146" s="8" t="s">
        <v>1563</v>
      </c>
      <c r="N146" s="8" t="s">
        <v>1562</v>
      </c>
      <c r="O146" s="11">
        <f>4970-2355</f>
        <v>2615</v>
      </c>
      <c r="P146" s="22">
        <v>4</v>
      </c>
      <c r="Q146" s="12"/>
      <c r="R146" s="11"/>
      <c r="S146" s="8">
        <v>40</v>
      </c>
      <c r="T146" s="12"/>
      <c r="U146" s="11"/>
      <c r="V146" s="11"/>
      <c r="W146" s="11"/>
      <c r="X146" s="9"/>
      <c r="Y146" s="9"/>
      <c r="Z146" s="8" t="s">
        <v>1560</v>
      </c>
      <c r="AA146" s="9"/>
      <c r="AB146" s="9" t="s">
        <v>2347</v>
      </c>
      <c r="AC146" s="46" t="s">
        <v>2350</v>
      </c>
    </row>
    <row r="147" spans="1:29" ht="33.75" customHeight="1">
      <c r="A147" s="9"/>
      <c r="B147" s="8" t="s">
        <v>111</v>
      </c>
      <c r="C147" s="42">
        <v>598503</v>
      </c>
      <c r="D147" s="42">
        <v>128733</v>
      </c>
      <c r="E147" s="46" t="s">
        <v>2429</v>
      </c>
      <c r="F147" s="42">
        <v>51.023688999999997</v>
      </c>
      <c r="G147" s="42">
        <v>0.82912582999999995</v>
      </c>
      <c r="H147" s="10" t="s">
        <v>1571</v>
      </c>
      <c r="I147" s="8" t="s">
        <v>1564</v>
      </c>
      <c r="J147" s="9">
        <v>-1</v>
      </c>
      <c r="K147" s="11"/>
      <c r="L147" s="11" t="s">
        <v>1328</v>
      </c>
      <c r="M147" s="8" t="s">
        <v>1565</v>
      </c>
      <c r="N147" s="8" t="s">
        <v>1566</v>
      </c>
      <c r="O147" s="11">
        <f>4485-1850</f>
        <v>2635</v>
      </c>
      <c r="P147" s="22">
        <v>4</v>
      </c>
      <c r="Q147" s="12"/>
      <c r="R147" s="11"/>
      <c r="S147" s="8">
        <v>40</v>
      </c>
      <c r="T147" s="12"/>
      <c r="U147" s="11"/>
      <c r="V147" s="11"/>
      <c r="W147" s="11"/>
      <c r="X147" s="9"/>
      <c r="Y147" s="9"/>
      <c r="Z147" s="8" t="s">
        <v>1560</v>
      </c>
      <c r="AA147" s="9"/>
      <c r="AB147" s="9" t="s">
        <v>2347</v>
      </c>
      <c r="AC147" s="46" t="s">
        <v>2350</v>
      </c>
    </row>
    <row r="148" spans="1:29" ht="33.75" customHeight="1">
      <c r="A148" s="9"/>
      <c r="B148" s="8" t="s">
        <v>111</v>
      </c>
      <c r="C148" s="42">
        <v>598714</v>
      </c>
      <c r="D148" s="42">
        <v>125759</v>
      </c>
      <c r="E148" s="46" t="s">
        <v>2429</v>
      </c>
      <c r="F148" s="42">
        <v>50.996906000000003</v>
      </c>
      <c r="G148" s="42">
        <v>0.83050323000000004</v>
      </c>
      <c r="H148" s="10" t="s">
        <v>1570</v>
      </c>
      <c r="I148" s="8" t="s">
        <v>850</v>
      </c>
      <c r="J148" s="9">
        <v>1</v>
      </c>
      <c r="K148" s="11"/>
      <c r="L148" s="11" t="s">
        <v>1328</v>
      </c>
      <c r="M148" s="8" t="s">
        <v>852</v>
      </c>
      <c r="N148" s="8" t="s">
        <v>853</v>
      </c>
      <c r="O148" s="11">
        <f>4367-1846</f>
        <v>2521</v>
      </c>
      <c r="P148" s="22">
        <v>3</v>
      </c>
      <c r="Q148" s="12"/>
      <c r="R148" s="11"/>
      <c r="S148" s="8">
        <v>35</v>
      </c>
      <c r="T148" s="12"/>
      <c r="U148" s="11"/>
      <c r="V148" s="11"/>
      <c r="W148" s="11"/>
      <c r="X148" s="9"/>
      <c r="Y148" s="9"/>
      <c r="Z148" s="8" t="s">
        <v>1560</v>
      </c>
      <c r="AA148" s="9"/>
      <c r="AB148" s="9" t="s">
        <v>2347</v>
      </c>
      <c r="AC148" s="46" t="s">
        <v>2350</v>
      </c>
    </row>
    <row r="149" spans="1:29" ht="33.75" customHeight="1">
      <c r="A149" s="9"/>
      <c r="B149" s="8" t="s">
        <v>111</v>
      </c>
      <c r="C149" s="42">
        <v>599284</v>
      </c>
      <c r="D149" s="42">
        <v>122219</v>
      </c>
      <c r="E149" s="46" t="s">
        <v>2429</v>
      </c>
      <c r="F149" s="42">
        <v>50.964916000000002</v>
      </c>
      <c r="G149" s="42">
        <v>0.83667628999999999</v>
      </c>
      <c r="H149" s="10" t="s">
        <v>1569</v>
      </c>
      <c r="I149" s="8" t="s">
        <v>443</v>
      </c>
      <c r="J149" s="9">
        <v>-1</v>
      </c>
      <c r="K149" s="11"/>
      <c r="L149" s="11" t="s">
        <v>1328</v>
      </c>
      <c r="M149" s="8" t="s">
        <v>1567</v>
      </c>
      <c r="N149" s="8" t="s">
        <v>1568</v>
      </c>
      <c r="O149" s="11">
        <f>4410-1050</f>
        <v>3360</v>
      </c>
      <c r="P149" s="22">
        <v>4</v>
      </c>
      <c r="Q149" s="12"/>
      <c r="R149" s="11"/>
      <c r="S149" s="8">
        <v>46</v>
      </c>
      <c r="T149" s="12"/>
      <c r="U149" s="11"/>
      <c r="V149" s="11"/>
      <c r="W149" s="11"/>
      <c r="X149" s="9"/>
      <c r="Y149" s="9"/>
      <c r="Z149" s="8" t="s">
        <v>1560</v>
      </c>
      <c r="AA149" s="9"/>
      <c r="AB149" s="9" t="s">
        <v>2347</v>
      </c>
      <c r="AC149" s="46" t="s">
        <v>2350</v>
      </c>
    </row>
    <row r="150" spans="1:29" ht="33.75" customHeight="1">
      <c r="A150" s="9"/>
      <c r="B150" s="8" t="s">
        <v>1134</v>
      </c>
      <c r="C150" s="26">
        <v>451700</v>
      </c>
      <c r="D150" s="26">
        <v>296800</v>
      </c>
      <c r="E150" s="46" t="s">
        <v>2430</v>
      </c>
      <c r="F150" s="26">
        <v>52.566578999999997</v>
      </c>
      <c r="G150" s="26">
        <v>-1.2386921</v>
      </c>
      <c r="H150" s="10" t="s">
        <v>1141</v>
      </c>
      <c r="I150" s="8" t="s">
        <v>1133</v>
      </c>
      <c r="J150" s="9">
        <v>67</v>
      </c>
      <c r="K150" s="9" t="s">
        <v>1135</v>
      </c>
      <c r="L150" s="11" t="s">
        <v>1132</v>
      </c>
      <c r="M150" s="8" t="s">
        <v>1137</v>
      </c>
      <c r="N150" s="8" t="s">
        <v>1136</v>
      </c>
      <c r="O150" s="11">
        <f>10220-4670</f>
        <v>5550</v>
      </c>
      <c r="P150" s="22">
        <v>3</v>
      </c>
      <c r="Q150" s="12">
        <f>P150/O150*1000</f>
        <v>0.54054054054054057</v>
      </c>
      <c r="R150" s="11"/>
      <c r="S150" s="8">
        <v>7</v>
      </c>
      <c r="T150" s="12">
        <f>S150/(O150/1000)</f>
        <v>1.2612612612612613</v>
      </c>
      <c r="U150" s="11" t="s">
        <v>1131</v>
      </c>
      <c r="V150" s="11"/>
      <c r="W150" s="11"/>
      <c r="X150" s="9"/>
      <c r="Y150" s="9"/>
      <c r="Z150" s="8" t="s">
        <v>1142</v>
      </c>
      <c r="AA150" s="9"/>
      <c r="AB150" s="9" t="s">
        <v>2347</v>
      </c>
      <c r="AC150" s="46" t="s">
        <v>2350</v>
      </c>
    </row>
    <row r="151" spans="1:29" ht="33.75" customHeight="1">
      <c r="A151" s="11"/>
      <c r="B151" s="8" t="s">
        <v>1134</v>
      </c>
      <c r="C151" s="26">
        <v>451700</v>
      </c>
      <c r="D151" s="26">
        <v>296800</v>
      </c>
      <c r="E151" s="46" t="s">
        <v>2430</v>
      </c>
      <c r="F151" s="26">
        <v>52.566578999999997</v>
      </c>
      <c r="G151" s="26">
        <v>-1.2386921</v>
      </c>
      <c r="H151" s="10" t="s">
        <v>1141</v>
      </c>
      <c r="I151" s="8" t="s">
        <v>1133</v>
      </c>
      <c r="J151" s="9">
        <v>67</v>
      </c>
      <c r="K151" s="9" t="s">
        <v>1138</v>
      </c>
      <c r="L151" s="11" t="s">
        <v>1132</v>
      </c>
      <c r="M151" s="8" t="s">
        <v>1140</v>
      </c>
      <c r="N151" s="8" t="s">
        <v>1139</v>
      </c>
      <c r="O151" s="11">
        <f>3360-1960</f>
        <v>1400</v>
      </c>
      <c r="P151" s="22">
        <v>2</v>
      </c>
      <c r="Q151" s="12">
        <f>P151/O151*1000</f>
        <v>1.4285714285714286</v>
      </c>
      <c r="R151" s="11"/>
      <c r="S151" s="8">
        <v>12</v>
      </c>
      <c r="T151" s="12">
        <f>S151/(O151/1000)</f>
        <v>8.5714285714285712</v>
      </c>
      <c r="U151" s="11" t="s">
        <v>1131</v>
      </c>
      <c r="V151" s="11"/>
      <c r="W151" s="11"/>
      <c r="X151" s="9"/>
      <c r="Y151" s="9"/>
      <c r="Z151" s="8" t="s">
        <v>1142</v>
      </c>
      <c r="AA151" s="9"/>
      <c r="AB151" s="9" t="s">
        <v>2347</v>
      </c>
      <c r="AC151" s="46" t="s">
        <v>2350</v>
      </c>
    </row>
    <row r="152" spans="1:29" ht="33.75" customHeight="1">
      <c r="A152" s="11">
        <v>20</v>
      </c>
      <c r="B152" s="8" t="s">
        <v>22</v>
      </c>
      <c r="C152" s="26">
        <v>506020</v>
      </c>
      <c r="D152" s="26">
        <v>423070</v>
      </c>
      <c r="E152" s="50" t="s">
        <v>2401</v>
      </c>
      <c r="F152" s="26">
        <v>53.693322999999999</v>
      </c>
      <c r="G152" s="26">
        <v>-0.39583751</v>
      </c>
      <c r="H152" s="10" t="s">
        <v>285</v>
      </c>
      <c r="I152" s="8" t="s">
        <v>135</v>
      </c>
      <c r="J152" s="11">
        <v>-2</v>
      </c>
      <c r="K152" s="11" t="s">
        <v>43</v>
      </c>
      <c r="L152" s="11" t="s">
        <v>2</v>
      </c>
      <c r="M152" s="8" t="s">
        <v>1481</v>
      </c>
      <c r="N152" s="8" t="s">
        <v>1482</v>
      </c>
      <c r="O152" s="11">
        <f>2325-1080</f>
        <v>1245</v>
      </c>
      <c r="P152" s="22">
        <v>3</v>
      </c>
      <c r="Q152" s="12">
        <f>P152/O152*1000</f>
        <v>2.4096385542168677</v>
      </c>
      <c r="R152" s="11"/>
      <c r="S152" s="8">
        <v>14</v>
      </c>
      <c r="T152" s="12">
        <f>S152/(O152/1000)</f>
        <v>11.244979919678714</v>
      </c>
      <c r="U152" s="11"/>
      <c r="V152" s="11"/>
      <c r="W152" s="11" t="s">
        <v>25</v>
      </c>
      <c r="X152" s="11" t="s">
        <v>41</v>
      </c>
      <c r="Y152" s="11" t="s">
        <v>42</v>
      </c>
      <c r="Z152" s="8" t="s">
        <v>618</v>
      </c>
      <c r="AA152" s="11"/>
      <c r="AB152" s="9" t="s">
        <v>2347</v>
      </c>
      <c r="AC152" s="46" t="s">
        <v>2350</v>
      </c>
    </row>
    <row r="153" spans="1:29" ht="33.75" customHeight="1">
      <c r="A153" s="11">
        <v>20</v>
      </c>
      <c r="B153" s="8" t="s">
        <v>22</v>
      </c>
      <c r="C153" s="26">
        <v>527350</v>
      </c>
      <c r="D153" s="26">
        <v>410650</v>
      </c>
      <c r="E153" s="50" t="s">
        <v>2401</v>
      </c>
      <c r="F153" s="26">
        <v>53.576993000000002</v>
      </c>
      <c r="G153" s="26">
        <v>-7.8063710999999994E-2</v>
      </c>
      <c r="H153" s="10" t="s">
        <v>286</v>
      </c>
      <c r="I153" s="8" t="s">
        <v>136</v>
      </c>
      <c r="J153" s="11">
        <v>-2</v>
      </c>
      <c r="K153" s="11" t="s">
        <v>43</v>
      </c>
      <c r="L153" s="11" t="s">
        <v>139</v>
      </c>
      <c r="M153" s="8" t="s">
        <v>1479</v>
      </c>
      <c r="N153" s="8" t="s">
        <v>1480</v>
      </c>
      <c r="O153" s="11">
        <v>2505</v>
      </c>
      <c r="P153" s="22">
        <v>4</v>
      </c>
      <c r="Q153" s="12">
        <f>P153/O153*1000</f>
        <v>1.5968063872255489</v>
      </c>
      <c r="R153" s="11"/>
      <c r="S153" s="8">
        <v>20</v>
      </c>
      <c r="T153" s="12">
        <f>S153/(O153/1000)</f>
        <v>7.984031936127745</v>
      </c>
      <c r="U153" s="11"/>
      <c r="V153" s="11"/>
      <c r="W153" s="11" t="s">
        <v>25</v>
      </c>
      <c r="X153" s="11" t="s">
        <v>41</v>
      </c>
      <c r="Y153" s="11" t="s">
        <v>42</v>
      </c>
      <c r="Z153" s="8" t="s">
        <v>618</v>
      </c>
      <c r="AA153" s="11"/>
      <c r="AB153" s="9" t="s">
        <v>2347</v>
      </c>
      <c r="AC153" s="46" t="s">
        <v>2350</v>
      </c>
    </row>
    <row r="154" spans="1:29" ht="33.75" customHeight="1">
      <c r="A154" s="11">
        <v>20</v>
      </c>
      <c r="B154" s="8" t="s">
        <v>22</v>
      </c>
      <c r="C154" s="26">
        <v>533200</v>
      </c>
      <c r="D154" s="26">
        <v>403250</v>
      </c>
      <c r="E154" s="50" t="s">
        <v>2401</v>
      </c>
      <c r="F154" s="26">
        <v>53.509068999999997</v>
      </c>
      <c r="G154" s="26">
        <v>7.0847343000000002E-3</v>
      </c>
      <c r="H154" s="10" t="s">
        <v>288</v>
      </c>
      <c r="I154" s="8" t="s">
        <v>138</v>
      </c>
      <c r="J154" s="11">
        <v>-2</v>
      </c>
      <c r="K154" s="11" t="s">
        <v>43</v>
      </c>
      <c r="L154" s="11" t="s">
        <v>2</v>
      </c>
      <c r="M154" s="8" t="s">
        <v>1483</v>
      </c>
      <c r="N154" s="8"/>
      <c r="O154" s="11"/>
      <c r="P154" s="22">
        <v>1</v>
      </c>
      <c r="Q154" s="12"/>
      <c r="R154" s="11"/>
      <c r="S154" s="8">
        <v>6</v>
      </c>
      <c r="T154" s="12"/>
      <c r="U154" s="11"/>
      <c r="V154" s="11"/>
      <c r="W154" s="11" t="s">
        <v>25</v>
      </c>
      <c r="X154" s="11" t="s">
        <v>41</v>
      </c>
      <c r="Y154" s="11" t="s">
        <v>42</v>
      </c>
      <c r="Z154" s="8" t="s">
        <v>618</v>
      </c>
      <c r="AA154" s="11"/>
      <c r="AB154" s="9" t="s">
        <v>2347</v>
      </c>
      <c r="AC154" s="46" t="s">
        <v>2350</v>
      </c>
    </row>
    <row r="155" spans="1:29" ht="33.75" customHeight="1">
      <c r="A155" s="11">
        <v>15</v>
      </c>
      <c r="B155" s="8" t="s">
        <v>22</v>
      </c>
      <c r="C155" s="26">
        <v>518500</v>
      </c>
      <c r="D155" s="26">
        <v>308100</v>
      </c>
      <c r="E155" s="46" t="s">
        <v>2431</v>
      </c>
      <c r="F155" s="26">
        <v>52.657684000000003</v>
      </c>
      <c r="G155" s="26">
        <v>-0.24949218000000001</v>
      </c>
      <c r="H155" s="10" t="s">
        <v>277</v>
      </c>
      <c r="I155" s="8" t="s">
        <v>81</v>
      </c>
      <c r="J155" s="9">
        <v>5</v>
      </c>
      <c r="K155" s="11" t="s">
        <v>142</v>
      </c>
      <c r="L155" s="11" t="s">
        <v>2</v>
      </c>
      <c r="M155" s="8"/>
      <c r="N155" s="8"/>
      <c r="O155" s="11"/>
      <c r="P155" s="22">
        <v>0</v>
      </c>
      <c r="Q155" s="12"/>
      <c r="R155" s="11"/>
      <c r="S155" s="8">
        <v>12</v>
      </c>
      <c r="T155" s="12"/>
      <c r="U155" s="11" t="s">
        <v>857</v>
      </c>
      <c r="V155" s="11"/>
      <c r="W155" s="11" t="s">
        <v>21</v>
      </c>
      <c r="X155" s="9" t="s">
        <v>41</v>
      </c>
      <c r="Y155" s="9" t="s">
        <v>42</v>
      </c>
      <c r="Z155" s="8" t="s">
        <v>617</v>
      </c>
      <c r="AA155" s="9"/>
      <c r="AB155" s="9" t="s">
        <v>2347</v>
      </c>
      <c r="AC155" s="46" t="s">
        <v>2350</v>
      </c>
    </row>
    <row r="156" spans="1:29" ht="33.75" customHeight="1">
      <c r="A156" s="11">
        <v>16</v>
      </c>
      <c r="B156" s="8" t="s">
        <v>22</v>
      </c>
      <c r="C156" s="26">
        <v>518500</v>
      </c>
      <c r="D156" s="26">
        <v>308200</v>
      </c>
      <c r="E156" s="46" t="s">
        <v>2431</v>
      </c>
      <c r="F156" s="26">
        <v>52.658583</v>
      </c>
      <c r="G156" s="26">
        <v>-0.24945628</v>
      </c>
      <c r="H156" s="10" t="s">
        <v>278</v>
      </c>
      <c r="I156" s="8" t="s">
        <v>81</v>
      </c>
      <c r="J156" s="9">
        <v>5</v>
      </c>
      <c r="K156" s="11" t="s">
        <v>143</v>
      </c>
      <c r="L156" s="11" t="s">
        <v>144</v>
      </c>
      <c r="M156" s="8"/>
      <c r="N156" s="8"/>
      <c r="O156" s="11"/>
      <c r="P156" s="22">
        <v>0</v>
      </c>
      <c r="Q156" s="12"/>
      <c r="R156" s="11"/>
      <c r="S156" s="8">
        <v>9</v>
      </c>
      <c r="T156" s="12"/>
      <c r="U156" s="11" t="s">
        <v>857</v>
      </c>
      <c r="V156" s="11"/>
      <c r="W156" s="11" t="s">
        <v>21</v>
      </c>
      <c r="X156" s="9" t="s">
        <v>41</v>
      </c>
      <c r="Y156" s="9" t="s">
        <v>42</v>
      </c>
      <c r="Z156" s="8" t="s">
        <v>617</v>
      </c>
      <c r="AA156" s="9" t="s">
        <v>1467</v>
      </c>
      <c r="AB156" s="9" t="s">
        <v>2347</v>
      </c>
      <c r="AC156" s="46" t="s">
        <v>2350</v>
      </c>
    </row>
    <row r="157" spans="1:29" ht="33.75" customHeight="1">
      <c r="A157" s="11"/>
      <c r="B157" s="8" t="s">
        <v>22</v>
      </c>
      <c r="C157" s="9">
        <v>499744</v>
      </c>
      <c r="D157" s="9">
        <v>407719</v>
      </c>
      <c r="E157" s="46" t="s">
        <v>2168</v>
      </c>
      <c r="F157" s="9">
        <v>53.556626999999999</v>
      </c>
      <c r="G157" s="9">
        <v>-0.49576108000000002</v>
      </c>
      <c r="H157" s="10" t="s">
        <v>1152</v>
      </c>
      <c r="I157" s="8" t="s">
        <v>1143</v>
      </c>
      <c r="J157" s="9">
        <v>8</v>
      </c>
      <c r="K157" s="9"/>
      <c r="L157" s="11" t="s">
        <v>2</v>
      </c>
      <c r="M157" s="8"/>
      <c r="N157" s="8"/>
      <c r="O157" s="11"/>
      <c r="P157" s="22">
        <v>0</v>
      </c>
      <c r="Q157" s="12"/>
      <c r="R157" s="11"/>
      <c r="S157" s="8">
        <v>16</v>
      </c>
      <c r="T157" s="12"/>
      <c r="U157" s="12" t="s">
        <v>669</v>
      </c>
      <c r="V157" s="11"/>
      <c r="W157" s="11"/>
      <c r="X157" s="9"/>
      <c r="Y157" s="9"/>
      <c r="Z157" s="8" t="s">
        <v>1153</v>
      </c>
      <c r="AA157" s="9"/>
      <c r="AB157" s="9" t="s">
        <v>2347</v>
      </c>
      <c r="AC157" s="46" t="s">
        <v>2350</v>
      </c>
    </row>
    <row r="158" spans="1:29" ht="33.75" customHeight="1">
      <c r="A158" s="11"/>
      <c r="B158" s="8" t="s">
        <v>22</v>
      </c>
      <c r="C158" s="9">
        <v>502583</v>
      </c>
      <c r="D158" s="9">
        <v>402693</v>
      </c>
      <c r="E158" s="46" t="s">
        <v>2168</v>
      </c>
      <c r="F158" s="9">
        <v>53.510922000000001</v>
      </c>
      <c r="G158" s="9">
        <v>-0.45456638999999999</v>
      </c>
      <c r="H158" s="10" t="s">
        <v>1151</v>
      </c>
      <c r="I158" s="8" t="s">
        <v>1144</v>
      </c>
      <c r="J158" s="9">
        <v>5</v>
      </c>
      <c r="K158" s="9"/>
      <c r="L158" s="11" t="s">
        <v>2</v>
      </c>
      <c r="M158" s="8"/>
      <c r="N158" s="8"/>
      <c r="O158" s="11"/>
      <c r="P158" s="22">
        <v>0</v>
      </c>
      <c r="Q158" s="12"/>
      <c r="R158" s="11"/>
      <c r="S158" s="8">
        <v>15</v>
      </c>
      <c r="T158" s="12"/>
      <c r="U158" s="12" t="s">
        <v>669</v>
      </c>
      <c r="V158" s="11"/>
      <c r="W158" s="11"/>
      <c r="X158" s="9"/>
      <c r="Y158" s="9"/>
      <c r="Z158" s="8" t="s">
        <v>1153</v>
      </c>
      <c r="AA158" s="9"/>
      <c r="AB158" s="9" t="s">
        <v>2347</v>
      </c>
      <c r="AC158" s="46" t="s">
        <v>2350</v>
      </c>
    </row>
    <row r="159" spans="1:29" ht="33.75" customHeight="1">
      <c r="A159" s="11"/>
      <c r="B159" s="8" t="s">
        <v>22</v>
      </c>
      <c r="C159" s="9">
        <v>500731</v>
      </c>
      <c r="D159" s="9">
        <v>421158</v>
      </c>
      <c r="E159" s="46" t="s">
        <v>2168</v>
      </c>
      <c r="F159" s="9">
        <v>53.677188999999998</v>
      </c>
      <c r="G159" s="9">
        <v>-0.47652598000000002</v>
      </c>
      <c r="H159" s="10" t="s">
        <v>1148</v>
      </c>
      <c r="I159" s="8" t="s">
        <v>1145</v>
      </c>
      <c r="J159" s="9">
        <v>60</v>
      </c>
      <c r="K159" s="11"/>
      <c r="L159" s="11" t="s">
        <v>2</v>
      </c>
      <c r="M159" s="8"/>
      <c r="N159" s="8"/>
      <c r="O159" s="11"/>
      <c r="P159" s="22">
        <v>0</v>
      </c>
      <c r="Q159" s="12"/>
      <c r="R159" s="11"/>
      <c r="S159" s="8">
        <v>4</v>
      </c>
      <c r="T159" s="12"/>
      <c r="U159" s="12" t="s">
        <v>669</v>
      </c>
      <c r="V159" s="11"/>
      <c r="W159" s="11"/>
      <c r="X159" s="9"/>
      <c r="Y159" s="9"/>
      <c r="Z159" s="8" t="s">
        <v>1153</v>
      </c>
      <c r="AA159" s="9"/>
      <c r="AB159" s="9" t="s">
        <v>2347</v>
      </c>
      <c r="AC159" s="46" t="s">
        <v>2350</v>
      </c>
    </row>
    <row r="160" spans="1:29" ht="33.75" customHeight="1">
      <c r="A160" s="11"/>
      <c r="B160" s="8" t="s">
        <v>22</v>
      </c>
      <c r="C160" s="9">
        <v>548050</v>
      </c>
      <c r="D160" s="9">
        <v>370685</v>
      </c>
      <c r="E160" s="46" t="s">
        <v>2168</v>
      </c>
      <c r="F160" s="9">
        <v>53.212608000000003</v>
      </c>
      <c r="G160" s="9">
        <v>0.21560591000000001</v>
      </c>
      <c r="H160" s="10" t="s">
        <v>1149</v>
      </c>
      <c r="I160" s="8" t="s">
        <v>1147</v>
      </c>
      <c r="J160" s="9">
        <v>10</v>
      </c>
      <c r="K160" s="11"/>
      <c r="L160" s="11" t="s">
        <v>2</v>
      </c>
      <c r="M160" s="8"/>
      <c r="N160" s="8"/>
      <c r="O160" s="11"/>
      <c r="P160" s="22">
        <v>0</v>
      </c>
      <c r="Q160" s="12"/>
      <c r="R160" s="11"/>
      <c r="S160" s="8">
        <v>3</v>
      </c>
      <c r="T160" s="12"/>
      <c r="U160" s="12" t="s">
        <v>669</v>
      </c>
      <c r="V160" s="11"/>
      <c r="W160" s="11"/>
      <c r="X160" s="9"/>
      <c r="Y160" s="9"/>
      <c r="Z160" s="8" t="s">
        <v>1153</v>
      </c>
      <c r="AA160" s="9"/>
      <c r="AB160" s="9" t="s">
        <v>2347</v>
      </c>
      <c r="AC160" s="46" t="s">
        <v>2350</v>
      </c>
    </row>
    <row r="161" spans="1:29" ht="33.75" customHeight="1">
      <c r="A161" s="11"/>
      <c r="B161" s="8" t="s">
        <v>1155</v>
      </c>
      <c r="C161" s="26">
        <v>530000</v>
      </c>
      <c r="D161" s="26">
        <v>180500</v>
      </c>
      <c r="E161" s="46" t="s">
        <v>1943</v>
      </c>
      <c r="F161" s="26">
        <v>51.508484000000003</v>
      </c>
      <c r="G161" s="26">
        <v>-0.12816984000000001</v>
      </c>
      <c r="H161" s="10" t="s">
        <v>1462</v>
      </c>
      <c r="I161" s="8" t="s">
        <v>1154</v>
      </c>
      <c r="J161" s="9">
        <v>20</v>
      </c>
      <c r="K161" s="11" t="s">
        <v>1156</v>
      </c>
      <c r="L161" s="11"/>
      <c r="M161" s="8"/>
      <c r="N161" s="8"/>
      <c r="O161" s="11"/>
      <c r="P161" s="22">
        <v>0</v>
      </c>
      <c r="Q161" s="12"/>
      <c r="R161" s="11"/>
      <c r="S161" s="8">
        <v>9</v>
      </c>
      <c r="T161" s="12"/>
      <c r="U161" s="11"/>
      <c r="V161" s="11"/>
      <c r="W161" s="11"/>
      <c r="X161" s="9"/>
      <c r="Y161" s="9"/>
      <c r="Z161" s="8" t="s">
        <v>1157</v>
      </c>
      <c r="AA161" s="9"/>
      <c r="AB161" s="9" t="s">
        <v>2347</v>
      </c>
      <c r="AC161" s="46" t="s">
        <v>2350</v>
      </c>
    </row>
    <row r="162" spans="1:29" ht="33.75" customHeight="1">
      <c r="A162" s="11">
        <v>4</v>
      </c>
      <c r="B162" s="8" t="s">
        <v>1155</v>
      </c>
      <c r="C162" s="9">
        <v>551600</v>
      </c>
      <c r="D162" s="9">
        <v>182900</v>
      </c>
      <c r="E162" s="46" t="s">
        <v>2432</v>
      </c>
      <c r="F162" s="9">
        <v>51.520313000000002</v>
      </c>
      <c r="G162" s="9">
        <v>0.17646294000000001</v>
      </c>
      <c r="H162" s="49" t="s">
        <v>274</v>
      </c>
      <c r="I162" s="8" t="s">
        <v>141</v>
      </c>
      <c r="J162" s="9">
        <v>1</v>
      </c>
      <c r="K162" s="11"/>
      <c r="L162" s="11" t="s">
        <v>44</v>
      </c>
      <c r="M162" s="8" t="s">
        <v>903</v>
      </c>
      <c r="N162" s="8" t="s">
        <v>902</v>
      </c>
      <c r="O162" s="11">
        <f>6440-3916</f>
        <v>2524</v>
      </c>
      <c r="P162" s="22">
        <v>6</v>
      </c>
      <c r="Q162" s="12">
        <f>P162/O162*1000</f>
        <v>2.3771790808240887</v>
      </c>
      <c r="R162" s="11"/>
      <c r="S162" s="8">
        <v>50</v>
      </c>
      <c r="T162" s="12">
        <f>S162/(O162/1000)</f>
        <v>19.809825673534071</v>
      </c>
      <c r="U162" s="11" t="s">
        <v>857</v>
      </c>
      <c r="V162" s="11" t="s">
        <v>594</v>
      </c>
      <c r="W162" s="11" t="s">
        <v>7</v>
      </c>
      <c r="X162" s="9" t="s">
        <v>41</v>
      </c>
      <c r="Y162" s="9" t="s">
        <v>42</v>
      </c>
      <c r="Z162" s="8" t="s">
        <v>610</v>
      </c>
      <c r="AA162" s="9"/>
      <c r="AB162" s="9" t="s">
        <v>2347</v>
      </c>
      <c r="AC162" s="46" t="s">
        <v>2350</v>
      </c>
    </row>
    <row r="163" spans="1:29" ht="33.75" customHeight="1">
      <c r="A163" s="11">
        <v>27</v>
      </c>
      <c r="B163" s="8" t="s">
        <v>1155</v>
      </c>
      <c r="C163" s="26">
        <v>552470</v>
      </c>
      <c r="D163" s="26">
        <v>181571</v>
      </c>
      <c r="E163" s="46" t="s">
        <v>606</v>
      </c>
      <c r="F163" s="26">
        <v>51.512495999999999</v>
      </c>
      <c r="G163" s="26">
        <v>0.19583538</v>
      </c>
      <c r="H163" s="50" t="s">
        <v>305</v>
      </c>
      <c r="I163" s="8" t="s">
        <v>96</v>
      </c>
      <c r="J163" s="9">
        <v>5</v>
      </c>
      <c r="K163" s="11" t="s">
        <v>96</v>
      </c>
      <c r="L163" s="11" t="s">
        <v>2</v>
      </c>
      <c r="M163" s="8" t="s">
        <v>950</v>
      </c>
      <c r="N163" s="8" t="s">
        <v>949</v>
      </c>
      <c r="O163" s="11">
        <f>5378-2352</f>
        <v>3026</v>
      </c>
      <c r="P163" s="22">
        <v>4</v>
      </c>
      <c r="Q163" s="12">
        <f>P163/O163*1000</f>
        <v>1.3218770654329146</v>
      </c>
      <c r="R163" s="11" t="s">
        <v>40</v>
      </c>
      <c r="S163" s="8">
        <v>33</v>
      </c>
      <c r="T163" s="12">
        <f>S163/(O163/1000)</f>
        <v>10.905485789821547</v>
      </c>
      <c r="U163" s="11" t="s">
        <v>858</v>
      </c>
      <c r="V163" s="11"/>
      <c r="W163" s="11" t="s">
        <v>34</v>
      </c>
      <c r="X163" s="9" t="s">
        <v>41</v>
      </c>
      <c r="Y163" s="9" t="s">
        <v>42</v>
      </c>
      <c r="Z163" s="8" t="s">
        <v>159</v>
      </c>
      <c r="AA163" s="9" t="s">
        <v>948</v>
      </c>
      <c r="AB163" s="9" t="s">
        <v>2347</v>
      </c>
      <c r="AC163" s="46" t="s">
        <v>2350</v>
      </c>
    </row>
    <row r="164" spans="1:29" ht="33.75" customHeight="1">
      <c r="A164" s="11"/>
      <c r="B164" s="8" t="s">
        <v>1155</v>
      </c>
      <c r="C164" s="26">
        <v>555223</v>
      </c>
      <c r="D164" s="26">
        <v>179354</v>
      </c>
      <c r="E164" s="46" t="s">
        <v>606</v>
      </c>
      <c r="F164" s="26">
        <v>51.491829000000003</v>
      </c>
      <c r="G164" s="26">
        <v>0.23450166</v>
      </c>
      <c r="H164" s="50" t="s">
        <v>306</v>
      </c>
      <c r="I164" s="8" t="s">
        <v>97</v>
      </c>
      <c r="J164" s="9">
        <v>8</v>
      </c>
      <c r="K164" s="11" t="s">
        <v>97</v>
      </c>
      <c r="L164" s="11" t="s">
        <v>2</v>
      </c>
      <c r="M164" s="8" t="s">
        <v>952</v>
      </c>
      <c r="N164" s="8" t="s">
        <v>951</v>
      </c>
      <c r="O164" s="11">
        <f>3909-3090</f>
        <v>819</v>
      </c>
      <c r="P164" s="22">
        <v>5</v>
      </c>
      <c r="Q164" s="12">
        <f>P164/O164*1000</f>
        <v>6.1050061050061046</v>
      </c>
      <c r="R164" s="11" t="s">
        <v>40</v>
      </c>
      <c r="S164" s="8">
        <v>38</v>
      </c>
      <c r="T164" s="12">
        <f>S164/(O164/1000)</f>
        <v>46.398046398046404</v>
      </c>
      <c r="U164" s="11" t="s">
        <v>858</v>
      </c>
      <c r="V164" s="11"/>
      <c r="W164" s="11" t="s">
        <v>34</v>
      </c>
      <c r="X164" s="9" t="s">
        <v>41</v>
      </c>
      <c r="Y164" s="9" t="s">
        <v>42</v>
      </c>
      <c r="Z164" s="8" t="s">
        <v>620</v>
      </c>
      <c r="AA164" s="9" t="s">
        <v>948</v>
      </c>
      <c r="AB164" s="9" t="s">
        <v>2347</v>
      </c>
      <c r="AC164" s="46" t="s">
        <v>2350</v>
      </c>
    </row>
    <row r="165" spans="1:29" ht="33.75" customHeight="1">
      <c r="A165" s="11">
        <v>28</v>
      </c>
      <c r="B165" s="8" t="s">
        <v>1155</v>
      </c>
      <c r="C165" s="26">
        <v>540068</v>
      </c>
      <c r="D165" s="26">
        <v>180481</v>
      </c>
      <c r="E165" s="46" t="s">
        <v>2433</v>
      </c>
      <c r="F165" s="26">
        <v>51.50591</v>
      </c>
      <c r="G165" s="26">
        <v>1.6803322999999998E-2</v>
      </c>
      <c r="H165" s="50" t="s">
        <v>307</v>
      </c>
      <c r="I165" s="8" t="s">
        <v>325</v>
      </c>
      <c r="J165" s="9">
        <v>8</v>
      </c>
      <c r="K165" s="11" t="s">
        <v>98</v>
      </c>
      <c r="L165" s="11" t="s">
        <v>2</v>
      </c>
      <c r="M165" s="8" t="s">
        <v>1490</v>
      </c>
      <c r="N165" s="8" t="s">
        <v>1489</v>
      </c>
      <c r="O165" s="11">
        <v>7880</v>
      </c>
      <c r="P165" s="22">
        <v>6</v>
      </c>
      <c r="Q165" s="12">
        <f>P165/O165*1000</f>
        <v>0.76142131979695427</v>
      </c>
      <c r="R165" s="11" t="s">
        <v>40</v>
      </c>
      <c r="S165" s="8">
        <v>68</v>
      </c>
      <c r="T165" s="12">
        <f>S165/(O165/1000)</f>
        <v>8.6294416243654819</v>
      </c>
      <c r="U165" s="11"/>
      <c r="V165" s="11"/>
      <c r="W165" s="11" t="s">
        <v>35</v>
      </c>
      <c r="X165" s="9" t="s">
        <v>41</v>
      </c>
      <c r="Y165" s="9" t="s">
        <v>42</v>
      </c>
      <c r="Z165" s="8" t="s">
        <v>160</v>
      </c>
      <c r="AA165" s="9"/>
      <c r="AB165" s="9" t="s">
        <v>2347</v>
      </c>
      <c r="AC165" s="46" t="s">
        <v>2350</v>
      </c>
    </row>
    <row r="166" spans="1:29" ht="33.75" customHeight="1">
      <c r="A166" s="11"/>
      <c r="B166" s="8" t="s">
        <v>1640</v>
      </c>
      <c r="C166" s="9">
        <v>331895</v>
      </c>
      <c r="D166" s="9">
        <v>402097</v>
      </c>
      <c r="E166" s="46" t="s">
        <v>2434</v>
      </c>
      <c r="F166" s="9">
        <v>53.511122</v>
      </c>
      <c r="G166" s="9">
        <v>-3.0284499999999999</v>
      </c>
      <c r="H166" s="46" t="s">
        <v>826</v>
      </c>
      <c r="I166" s="8" t="s">
        <v>825</v>
      </c>
      <c r="J166" s="9">
        <v>5</v>
      </c>
      <c r="K166" s="11"/>
      <c r="L166" s="11"/>
      <c r="M166" s="8"/>
      <c r="N166" s="8"/>
      <c r="O166" s="11"/>
      <c r="P166" s="22">
        <v>0</v>
      </c>
      <c r="Q166" s="12"/>
      <c r="R166" s="11"/>
      <c r="S166" s="8">
        <v>35</v>
      </c>
      <c r="T166" s="12"/>
      <c r="U166" s="11" t="s">
        <v>6</v>
      </c>
      <c r="V166" s="11" t="s">
        <v>594</v>
      </c>
      <c r="W166" s="11"/>
      <c r="X166" s="9"/>
      <c r="Y166" s="9"/>
      <c r="Z166" s="8" t="s">
        <v>827</v>
      </c>
      <c r="AA166" s="9"/>
      <c r="AB166" s="9" t="s">
        <v>2347</v>
      </c>
      <c r="AC166" s="46" t="s">
        <v>2350</v>
      </c>
    </row>
    <row r="167" spans="1:29" ht="33.75" customHeight="1">
      <c r="A167" s="9"/>
      <c r="B167" s="8" t="s">
        <v>1640</v>
      </c>
      <c r="C167" s="40">
        <v>322100</v>
      </c>
      <c r="D167" s="40">
        <v>388300</v>
      </c>
      <c r="E167" s="46" t="s">
        <v>2376</v>
      </c>
      <c r="F167" s="40">
        <v>53.385775000000002</v>
      </c>
      <c r="G167" s="40">
        <v>-3.1726939999999999</v>
      </c>
      <c r="H167" s="49" t="s">
        <v>1658</v>
      </c>
      <c r="I167" s="8" t="s">
        <v>566</v>
      </c>
      <c r="J167" s="9">
        <v>5</v>
      </c>
      <c r="K167" s="11">
        <v>7</v>
      </c>
      <c r="L167" s="11"/>
      <c r="M167" s="8"/>
      <c r="N167" s="8"/>
      <c r="O167" s="11"/>
      <c r="P167" s="22">
        <v>0</v>
      </c>
      <c r="Q167" s="12"/>
      <c r="R167" s="11"/>
      <c r="S167" s="8">
        <v>10</v>
      </c>
      <c r="T167" s="12"/>
      <c r="U167" s="11"/>
      <c r="V167" s="11"/>
      <c r="W167" s="11"/>
      <c r="X167" s="9"/>
      <c r="Y167" s="9"/>
      <c r="Z167" s="8" t="s">
        <v>1662</v>
      </c>
      <c r="AA167" s="9"/>
      <c r="AB167" s="9" t="s">
        <v>2347</v>
      </c>
      <c r="AC167" s="46" t="s">
        <v>2350</v>
      </c>
    </row>
    <row r="168" spans="1:29" ht="33.75" customHeight="1">
      <c r="A168" s="9"/>
      <c r="B168" s="8" t="s">
        <v>1640</v>
      </c>
      <c r="C168" s="40">
        <v>322800</v>
      </c>
      <c r="D168" s="40">
        <v>388800</v>
      </c>
      <c r="E168" s="46" t="s">
        <v>2376</v>
      </c>
      <c r="F168" s="40">
        <v>53.390371000000002</v>
      </c>
      <c r="G168" s="40">
        <v>-3.1622941999999998</v>
      </c>
      <c r="H168" s="10" t="s">
        <v>1659</v>
      </c>
      <c r="I168" s="8" t="s">
        <v>566</v>
      </c>
      <c r="J168" s="9">
        <v>5</v>
      </c>
      <c r="K168" s="11">
        <v>8</v>
      </c>
      <c r="L168" s="11"/>
      <c r="M168" s="8"/>
      <c r="N168" s="8"/>
      <c r="O168" s="11"/>
      <c r="P168" s="22">
        <v>0</v>
      </c>
      <c r="Q168" s="12"/>
      <c r="R168" s="11"/>
      <c r="S168" s="8">
        <v>8</v>
      </c>
      <c r="T168" s="12"/>
      <c r="U168" s="11"/>
      <c r="V168" s="11"/>
      <c r="W168" s="11"/>
      <c r="X168" s="9"/>
      <c r="Y168" s="9"/>
      <c r="Z168" s="8" t="s">
        <v>1662</v>
      </c>
      <c r="AA168" s="9"/>
      <c r="AB168" s="9" t="s">
        <v>2347</v>
      </c>
      <c r="AC168" s="46" t="s">
        <v>2350</v>
      </c>
    </row>
    <row r="169" spans="1:29" ht="33.75" customHeight="1">
      <c r="A169" s="9"/>
      <c r="B169" s="8" t="s">
        <v>1640</v>
      </c>
      <c r="C169" s="40">
        <v>322700</v>
      </c>
      <c r="D169" s="40">
        <v>388200</v>
      </c>
      <c r="E169" s="46" t="s">
        <v>2376</v>
      </c>
      <c r="F169" s="40">
        <v>53.384963999999997</v>
      </c>
      <c r="G169" s="40">
        <v>-3.1636505000000001</v>
      </c>
      <c r="H169" s="10" t="s">
        <v>1657</v>
      </c>
      <c r="I169" s="8" t="s">
        <v>566</v>
      </c>
      <c r="J169" s="9">
        <v>5</v>
      </c>
      <c r="K169" s="11">
        <v>11</v>
      </c>
      <c r="L169" s="11"/>
      <c r="M169" s="8"/>
      <c r="N169" s="8"/>
      <c r="O169" s="11"/>
      <c r="P169" s="22">
        <v>0</v>
      </c>
      <c r="Q169" s="12"/>
      <c r="R169" s="11"/>
      <c r="S169" s="8">
        <v>17</v>
      </c>
      <c r="T169" s="12"/>
      <c r="U169" s="11"/>
      <c r="V169" s="11"/>
      <c r="W169" s="11"/>
      <c r="X169" s="9"/>
      <c r="Y169" s="9"/>
      <c r="Z169" s="8" t="s">
        <v>1662</v>
      </c>
      <c r="AA169" s="9"/>
      <c r="AB169" s="9" t="s">
        <v>2347</v>
      </c>
      <c r="AC169" s="46" t="s">
        <v>2350</v>
      </c>
    </row>
    <row r="170" spans="1:29" ht="33.75" customHeight="1">
      <c r="A170" s="9"/>
      <c r="B170" s="8" t="s">
        <v>1640</v>
      </c>
      <c r="C170" s="40">
        <v>323900</v>
      </c>
      <c r="D170" s="40">
        <v>390100</v>
      </c>
      <c r="E170" s="46" t="s">
        <v>2376</v>
      </c>
      <c r="F170" s="40">
        <v>53.402214000000001</v>
      </c>
      <c r="G170" s="40">
        <v>-3.1460715000000001</v>
      </c>
      <c r="H170" s="10" t="s">
        <v>569</v>
      </c>
      <c r="I170" s="8" t="s">
        <v>567</v>
      </c>
      <c r="J170" s="9">
        <v>3.5</v>
      </c>
      <c r="K170" s="11"/>
      <c r="L170" s="11"/>
      <c r="M170" s="8" t="s">
        <v>1656</v>
      </c>
      <c r="N170" s="8" t="s">
        <v>1655</v>
      </c>
      <c r="O170" s="11">
        <f>5250-4315</f>
        <v>935</v>
      </c>
      <c r="P170" s="22">
        <v>4</v>
      </c>
      <c r="Q170" s="12"/>
      <c r="R170" s="11"/>
      <c r="S170" s="8">
        <v>30</v>
      </c>
      <c r="T170" s="12"/>
      <c r="U170" s="11"/>
      <c r="V170" s="11"/>
      <c r="W170" s="11"/>
      <c r="X170" s="9"/>
      <c r="Y170" s="9"/>
      <c r="Z170" s="8" t="s">
        <v>1662</v>
      </c>
      <c r="AA170" s="9"/>
      <c r="AB170" s="9" t="s">
        <v>2347</v>
      </c>
      <c r="AC170" s="46" t="s">
        <v>2350</v>
      </c>
    </row>
    <row r="171" spans="1:29" ht="33.75" customHeight="1">
      <c r="A171" s="9"/>
      <c r="B171" s="8" t="s">
        <v>1640</v>
      </c>
      <c r="C171" s="40">
        <v>331100</v>
      </c>
      <c r="D171" s="40">
        <v>402700</v>
      </c>
      <c r="E171" s="46" t="s">
        <v>2376</v>
      </c>
      <c r="F171" s="40">
        <v>53.516440000000003</v>
      </c>
      <c r="G171" s="40">
        <v>-3.0405639999999998</v>
      </c>
      <c r="H171" s="10" t="s">
        <v>570</v>
      </c>
      <c r="I171" s="8" t="s">
        <v>568</v>
      </c>
      <c r="J171" s="9">
        <v>2</v>
      </c>
      <c r="K171" s="11"/>
      <c r="L171" s="11"/>
      <c r="M171" s="8" t="s">
        <v>1654</v>
      </c>
      <c r="N171" s="8" t="s">
        <v>1653</v>
      </c>
      <c r="O171" s="11">
        <f>7230-4670</f>
        <v>2560</v>
      </c>
      <c r="P171" s="22">
        <v>3</v>
      </c>
      <c r="Q171" s="12"/>
      <c r="R171" s="11"/>
      <c r="S171" s="8">
        <v>30</v>
      </c>
      <c r="T171" s="12"/>
      <c r="U171" s="11"/>
      <c r="V171" s="11"/>
      <c r="W171" s="11" t="s">
        <v>1162</v>
      </c>
      <c r="X171" s="9"/>
      <c r="Y171" s="9"/>
      <c r="Z171" s="8" t="s">
        <v>1662</v>
      </c>
      <c r="AA171" s="9"/>
      <c r="AB171" s="9" t="s">
        <v>2347</v>
      </c>
      <c r="AC171" s="46" t="s">
        <v>2350</v>
      </c>
    </row>
    <row r="172" spans="1:29" ht="33.75" customHeight="1">
      <c r="A172" s="9"/>
      <c r="B172" s="8" t="s">
        <v>1640</v>
      </c>
      <c r="C172" s="40">
        <v>330700</v>
      </c>
      <c r="D172" s="40">
        <v>401500</v>
      </c>
      <c r="E172" s="46" t="s">
        <v>2376</v>
      </c>
      <c r="F172" s="40">
        <v>53.505603000000001</v>
      </c>
      <c r="G172" s="40">
        <v>-3.0463296</v>
      </c>
      <c r="H172" s="10" t="s">
        <v>572</v>
      </c>
      <c r="I172" s="8" t="s">
        <v>571</v>
      </c>
      <c r="J172" s="9">
        <v>2</v>
      </c>
      <c r="K172" s="11"/>
      <c r="L172" s="11"/>
      <c r="M172" s="8" t="s">
        <v>1652</v>
      </c>
      <c r="N172" s="8" t="s">
        <v>1651</v>
      </c>
      <c r="O172" s="11">
        <f>5770-4510</f>
        <v>1260</v>
      </c>
      <c r="P172" s="22">
        <v>2</v>
      </c>
      <c r="Q172" s="12"/>
      <c r="R172" s="11"/>
      <c r="S172" s="8">
        <v>40</v>
      </c>
      <c r="T172" s="12"/>
      <c r="U172" s="11"/>
      <c r="V172" s="11"/>
      <c r="W172" s="11"/>
      <c r="X172" s="9"/>
      <c r="Y172" s="9"/>
      <c r="Z172" s="8" t="s">
        <v>1662</v>
      </c>
      <c r="AA172" s="9"/>
      <c r="AB172" s="9" t="s">
        <v>2347</v>
      </c>
      <c r="AC172" s="46" t="s">
        <v>2350</v>
      </c>
    </row>
    <row r="173" spans="1:29" ht="33.75" customHeight="1">
      <c r="A173" s="9"/>
      <c r="B173" s="8" t="s">
        <v>1640</v>
      </c>
      <c r="C173" s="40">
        <v>334200</v>
      </c>
      <c r="D173" s="40">
        <v>403100</v>
      </c>
      <c r="E173" s="46" t="s">
        <v>2376</v>
      </c>
      <c r="F173" s="40">
        <v>53.520432999999997</v>
      </c>
      <c r="G173" s="40">
        <v>-2.9939043000000001</v>
      </c>
      <c r="H173" s="10" t="s">
        <v>573</v>
      </c>
      <c r="I173" s="8" t="s">
        <v>1649</v>
      </c>
      <c r="J173" s="9">
        <v>5</v>
      </c>
      <c r="K173" s="11"/>
      <c r="L173" s="11"/>
      <c r="M173" s="8" t="s">
        <v>1650</v>
      </c>
      <c r="N173" s="8" t="s">
        <v>1280</v>
      </c>
      <c r="O173" s="11">
        <f>7130-6080</f>
        <v>1050</v>
      </c>
      <c r="P173" s="22">
        <v>3</v>
      </c>
      <c r="Q173" s="12"/>
      <c r="R173" s="11"/>
      <c r="S173" s="8">
        <v>20</v>
      </c>
      <c r="T173" s="12"/>
      <c r="U173" s="11"/>
      <c r="V173" s="11"/>
      <c r="W173" s="11"/>
      <c r="X173" s="9"/>
      <c r="Y173" s="9"/>
      <c r="Z173" s="8" t="s">
        <v>1662</v>
      </c>
      <c r="AA173" s="9"/>
      <c r="AB173" s="9" t="s">
        <v>2347</v>
      </c>
      <c r="AC173" s="46" t="s">
        <v>2350</v>
      </c>
    </row>
    <row r="174" spans="1:29" ht="33.75" customHeight="1">
      <c r="A174" s="9"/>
      <c r="B174" s="8" t="s">
        <v>1640</v>
      </c>
      <c r="C174" s="40">
        <v>345500</v>
      </c>
      <c r="D174" s="40">
        <v>396100</v>
      </c>
      <c r="E174" s="46" t="s">
        <v>2376</v>
      </c>
      <c r="F174" s="40">
        <v>53.458815999999999</v>
      </c>
      <c r="G174" s="40">
        <v>-2.8222741999999998</v>
      </c>
      <c r="H174" s="10" t="s">
        <v>575</v>
      </c>
      <c r="I174" s="8" t="s">
        <v>574</v>
      </c>
      <c r="J174" s="9">
        <v>40</v>
      </c>
      <c r="K174" s="11"/>
      <c r="L174" s="11"/>
      <c r="M174" s="8" t="s">
        <v>1648</v>
      </c>
      <c r="N174" s="8" t="s">
        <v>1647</v>
      </c>
      <c r="O174" s="11">
        <f>9305-1680</f>
        <v>7625</v>
      </c>
      <c r="P174" s="22">
        <v>18</v>
      </c>
      <c r="Q174" s="12"/>
      <c r="R174" s="11"/>
      <c r="S174" s="8">
        <v>60</v>
      </c>
      <c r="T174" s="12"/>
      <c r="U174" s="11"/>
      <c r="V174" s="11"/>
      <c r="W174" s="11"/>
      <c r="X174" s="9"/>
      <c r="Y174" s="9"/>
      <c r="Z174" s="8" t="s">
        <v>1662</v>
      </c>
      <c r="AA174" s="9"/>
      <c r="AB174" s="9" t="s">
        <v>2347</v>
      </c>
      <c r="AC174" s="46" t="s">
        <v>2350</v>
      </c>
    </row>
    <row r="175" spans="1:29" ht="33.75" customHeight="1">
      <c r="A175" s="9"/>
      <c r="B175" s="8" t="s">
        <v>1640</v>
      </c>
      <c r="C175" s="40">
        <v>344500</v>
      </c>
      <c r="D175" s="40">
        <v>399600</v>
      </c>
      <c r="E175" s="46" t="s">
        <v>2376</v>
      </c>
      <c r="F175" s="40">
        <v>53.490167</v>
      </c>
      <c r="G175" s="40">
        <v>-2.8379528000000001</v>
      </c>
      <c r="H175" s="10" t="s">
        <v>578</v>
      </c>
      <c r="I175" s="8" t="s">
        <v>576</v>
      </c>
      <c r="J175" s="9">
        <v>40</v>
      </c>
      <c r="K175" s="9" t="s">
        <v>577</v>
      </c>
      <c r="L175" s="11"/>
      <c r="M175" s="8" t="s">
        <v>1646</v>
      </c>
      <c r="N175" s="8" t="s">
        <v>1645</v>
      </c>
      <c r="O175" s="11">
        <f>4090-2380</f>
        <v>1710</v>
      </c>
      <c r="P175" s="22">
        <v>5</v>
      </c>
      <c r="Q175" s="12"/>
      <c r="R175" s="11"/>
      <c r="S175" s="8">
        <v>40</v>
      </c>
      <c r="T175" s="12"/>
      <c r="U175" s="11"/>
      <c r="V175" s="11" t="s">
        <v>594</v>
      </c>
      <c r="W175" s="11"/>
      <c r="X175" s="9"/>
      <c r="Y175" s="9"/>
      <c r="Z175" s="8" t="s">
        <v>1662</v>
      </c>
      <c r="AA175" s="9"/>
      <c r="AB175" s="9" t="s">
        <v>2347</v>
      </c>
      <c r="AC175" s="46" t="s">
        <v>2350</v>
      </c>
    </row>
    <row r="176" spans="1:29" ht="33.75" customHeight="1">
      <c r="A176" s="9"/>
      <c r="B176" s="8" t="s">
        <v>1640</v>
      </c>
      <c r="C176" s="40">
        <v>344800</v>
      </c>
      <c r="D176" s="40">
        <v>301000</v>
      </c>
      <c r="E176" s="46" t="s">
        <v>2376</v>
      </c>
      <c r="F176" s="40">
        <v>52.603966</v>
      </c>
      <c r="G176" s="40">
        <v>-2.8165035999999999</v>
      </c>
      <c r="H176" s="10" t="s">
        <v>579</v>
      </c>
      <c r="I176" s="8" t="s">
        <v>576</v>
      </c>
      <c r="J176" s="9">
        <v>40</v>
      </c>
      <c r="K176" s="9" t="s">
        <v>424</v>
      </c>
      <c r="L176" s="11"/>
      <c r="M176" s="8"/>
      <c r="N176" s="8"/>
      <c r="O176" s="11"/>
      <c r="P176" s="22">
        <v>0</v>
      </c>
      <c r="Q176" s="12"/>
      <c r="R176" s="11"/>
      <c r="S176" s="8">
        <v>8</v>
      </c>
      <c r="T176" s="12"/>
      <c r="U176" s="11"/>
      <c r="V176" s="11" t="s">
        <v>594</v>
      </c>
      <c r="W176" s="11"/>
      <c r="X176" s="9"/>
      <c r="Y176" s="9"/>
      <c r="Z176" s="8" t="s">
        <v>1662</v>
      </c>
      <c r="AA176" s="9"/>
      <c r="AB176" s="9" t="s">
        <v>2347</v>
      </c>
      <c r="AC176" s="46" t="s">
        <v>2350</v>
      </c>
    </row>
    <row r="177" spans="1:29" ht="33.75" customHeight="1">
      <c r="A177" s="9"/>
      <c r="B177" s="8" t="s">
        <v>1640</v>
      </c>
      <c r="C177" s="40">
        <v>354500</v>
      </c>
      <c r="D177" s="40">
        <v>394000</v>
      </c>
      <c r="E177" s="46" t="s">
        <v>2376</v>
      </c>
      <c r="F177" s="40">
        <v>53.440797000000003</v>
      </c>
      <c r="G177" s="40">
        <v>-2.6864352999999999</v>
      </c>
      <c r="H177" s="10" t="s">
        <v>581</v>
      </c>
      <c r="I177" s="8" t="s">
        <v>580</v>
      </c>
      <c r="J177" s="9">
        <v>15</v>
      </c>
      <c r="K177" s="11" t="s">
        <v>1644</v>
      </c>
      <c r="L177" s="11"/>
      <c r="M177" s="8" t="s">
        <v>1642</v>
      </c>
      <c r="N177" s="8" t="s">
        <v>1643</v>
      </c>
      <c r="O177" s="11"/>
      <c r="P177" s="22">
        <v>4</v>
      </c>
      <c r="Q177" s="12"/>
      <c r="R177" s="11"/>
      <c r="S177" s="8">
        <v>40</v>
      </c>
      <c r="T177" s="12"/>
      <c r="U177" s="11"/>
      <c r="V177" s="11" t="s">
        <v>594</v>
      </c>
      <c r="W177" s="11"/>
      <c r="X177" s="9"/>
      <c r="Y177" s="9"/>
      <c r="Z177" s="8" t="s">
        <v>1662</v>
      </c>
      <c r="AA177" s="9"/>
      <c r="AB177" s="9" t="s">
        <v>2347</v>
      </c>
      <c r="AC177" s="46" t="s">
        <v>2350</v>
      </c>
    </row>
    <row r="178" spans="1:29" ht="33.75" customHeight="1">
      <c r="A178" s="11"/>
      <c r="B178" s="8" t="s">
        <v>1640</v>
      </c>
      <c r="C178" s="40">
        <v>346800</v>
      </c>
      <c r="D178" s="40">
        <v>392900</v>
      </c>
      <c r="E178" s="46" t="s">
        <v>2376</v>
      </c>
      <c r="F178" s="40">
        <v>53.430188999999999</v>
      </c>
      <c r="G178" s="40">
        <v>-2.8021552999999999</v>
      </c>
      <c r="H178" s="10" t="s">
        <v>583</v>
      </c>
      <c r="I178" s="8" t="s">
        <v>582</v>
      </c>
      <c r="J178" s="9">
        <v>77</v>
      </c>
      <c r="K178" s="11" t="s">
        <v>1641</v>
      </c>
      <c r="L178" s="11"/>
      <c r="M178" s="8" t="s">
        <v>1638</v>
      </c>
      <c r="N178" s="8" t="s">
        <v>1639</v>
      </c>
      <c r="O178" s="11">
        <f>6850-4520</f>
        <v>2330</v>
      </c>
      <c r="P178" s="22">
        <v>3</v>
      </c>
      <c r="Q178" s="12"/>
      <c r="R178" s="11"/>
      <c r="S178" s="8">
        <v>30</v>
      </c>
      <c r="T178" s="12"/>
      <c r="U178" s="11"/>
      <c r="V178" s="11" t="s">
        <v>594</v>
      </c>
      <c r="W178" s="11"/>
      <c r="X178" s="9"/>
      <c r="Y178" s="9"/>
      <c r="Z178" s="8" t="s">
        <v>1662</v>
      </c>
      <c r="AA178" s="9"/>
      <c r="AB178" s="9" t="s">
        <v>2347</v>
      </c>
      <c r="AC178" s="46" t="s">
        <v>2350</v>
      </c>
    </row>
    <row r="179" spans="1:29" ht="33.75" customHeight="1">
      <c r="A179" s="11">
        <v>5</v>
      </c>
      <c r="B179" s="8" t="s">
        <v>107</v>
      </c>
      <c r="C179" s="9">
        <v>537000</v>
      </c>
      <c r="D179" s="9">
        <v>199000</v>
      </c>
      <c r="E179" s="46" t="s">
        <v>2435</v>
      </c>
      <c r="F179" s="9">
        <v>51.668700999999999</v>
      </c>
      <c r="G179" s="9">
        <v>-2.7573126E-2</v>
      </c>
      <c r="H179" s="10" t="s">
        <v>140</v>
      </c>
      <c r="I179" s="8" t="s">
        <v>46</v>
      </c>
      <c r="J179" s="9">
        <v>20</v>
      </c>
      <c r="K179" s="11" t="s">
        <v>45</v>
      </c>
      <c r="L179" s="11" t="s">
        <v>2</v>
      </c>
      <c r="M179" s="8" t="s">
        <v>905</v>
      </c>
      <c r="N179" s="8" t="s">
        <v>906</v>
      </c>
      <c r="O179" s="11">
        <f>9550-8290</f>
        <v>1260</v>
      </c>
      <c r="P179" s="22">
        <v>3</v>
      </c>
      <c r="Q179" s="12">
        <f>P179/O179*1000</f>
        <v>2.3809523809523814</v>
      </c>
      <c r="R179" s="11" t="s">
        <v>40</v>
      </c>
      <c r="S179" s="8">
        <v>20</v>
      </c>
      <c r="T179" s="12">
        <f>S179/(O179/1000)</f>
        <v>15.873015873015873</v>
      </c>
      <c r="U179" s="11" t="s">
        <v>904</v>
      </c>
      <c r="V179" s="11" t="s">
        <v>594</v>
      </c>
      <c r="W179" s="11" t="s">
        <v>8</v>
      </c>
      <c r="X179" s="9" t="s">
        <v>41</v>
      </c>
      <c r="Y179" s="9" t="s">
        <v>42</v>
      </c>
      <c r="Z179" s="8" t="s">
        <v>148</v>
      </c>
      <c r="AA179" s="9"/>
      <c r="AB179" s="9" t="s">
        <v>2347</v>
      </c>
      <c r="AC179" s="46" t="s">
        <v>2350</v>
      </c>
    </row>
    <row r="180" spans="1:29" ht="33.75" customHeight="1">
      <c r="A180" s="11">
        <v>12</v>
      </c>
      <c r="B180" s="8" t="s">
        <v>18</v>
      </c>
      <c r="C180" s="9">
        <v>474000</v>
      </c>
      <c r="D180" s="9">
        <v>501300</v>
      </c>
      <c r="E180" s="46" t="s">
        <v>2436</v>
      </c>
      <c r="F180" s="26">
        <v>54.397374999999997</v>
      </c>
      <c r="G180" s="26">
        <v>-0.86941807999999998</v>
      </c>
      <c r="H180" s="10" t="s">
        <v>73</v>
      </c>
      <c r="I180" s="8" t="s">
        <v>75</v>
      </c>
      <c r="J180" s="9" t="s">
        <v>74</v>
      </c>
      <c r="K180" s="11" t="s">
        <v>75</v>
      </c>
      <c r="L180" s="11"/>
      <c r="M180" s="8" t="s">
        <v>829</v>
      </c>
      <c r="N180" s="8" t="s">
        <v>828</v>
      </c>
      <c r="O180" s="11">
        <f>6077-5879</f>
        <v>198</v>
      </c>
      <c r="P180" s="22">
        <v>2</v>
      </c>
      <c r="Q180" s="12">
        <f>P180/O180*1000</f>
        <v>10.101010101010102</v>
      </c>
      <c r="R180" s="11" t="s">
        <v>40</v>
      </c>
      <c r="S180" s="8">
        <v>18</v>
      </c>
      <c r="T180" s="12">
        <f>S180/(O180/1000)</f>
        <v>90.909090909090907</v>
      </c>
      <c r="U180" s="11" t="s">
        <v>830</v>
      </c>
      <c r="V180" s="11"/>
      <c r="W180" s="11" t="s">
        <v>17</v>
      </c>
      <c r="X180" s="9" t="s">
        <v>41</v>
      </c>
      <c r="Y180" s="9" t="s">
        <v>42</v>
      </c>
      <c r="Z180" s="8" t="s">
        <v>615</v>
      </c>
      <c r="AA180" s="9" t="s">
        <v>831</v>
      </c>
      <c r="AB180" s="9" t="s">
        <v>2347</v>
      </c>
      <c r="AC180" s="46" t="s">
        <v>2350</v>
      </c>
    </row>
    <row r="181" spans="1:29" ht="33.75" customHeight="1">
      <c r="A181" s="11">
        <v>13</v>
      </c>
      <c r="B181" s="8" t="s">
        <v>18</v>
      </c>
      <c r="C181" s="9">
        <v>473100</v>
      </c>
      <c r="D181" s="9">
        <v>501200</v>
      </c>
      <c r="E181" s="46" t="s">
        <v>2437</v>
      </c>
      <c r="F181" s="26">
        <v>54.396605000000001</v>
      </c>
      <c r="G181" s="26">
        <v>-0.88330185000000006</v>
      </c>
      <c r="H181" s="10" t="s">
        <v>77</v>
      </c>
      <c r="I181" s="8" t="s">
        <v>76</v>
      </c>
      <c r="J181" s="9">
        <v>370</v>
      </c>
      <c r="K181" s="11">
        <v>6</v>
      </c>
      <c r="L181" s="11" t="s">
        <v>78</v>
      </c>
      <c r="M181" s="8" t="s">
        <v>1057</v>
      </c>
      <c r="N181" s="8" t="s">
        <v>1054</v>
      </c>
      <c r="O181" s="11">
        <f>5515-3490</f>
        <v>2025</v>
      </c>
      <c r="P181" s="22">
        <v>3</v>
      </c>
      <c r="Q181" s="12">
        <f>P181/O181*1000</f>
        <v>1.4814814814814814</v>
      </c>
      <c r="R181" s="11" t="s">
        <v>40</v>
      </c>
      <c r="S181" s="8">
        <v>14</v>
      </c>
      <c r="T181" s="12">
        <f>S181/(O181/1000)</f>
        <v>6.9135802469135808</v>
      </c>
      <c r="U181" s="11"/>
      <c r="V181" s="11" t="s">
        <v>594</v>
      </c>
      <c r="W181" s="11" t="s">
        <v>19</v>
      </c>
      <c r="X181" s="9" t="s">
        <v>41</v>
      </c>
      <c r="Y181" s="9" t="s">
        <v>42</v>
      </c>
      <c r="Z181" s="8" t="s">
        <v>616</v>
      </c>
      <c r="AA181" s="9" t="s">
        <v>1061</v>
      </c>
      <c r="AB181" s="9" t="s">
        <v>2347</v>
      </c>
      <c r="AC181" s="46" t="s">
        <v>2350</v>
      </c>
    </row>
    <row r="182" spans="1:29" ht="33.75" customHeight="1">
      <c r="A182" s="11"/>
      <c r="B182" s="8" t="s">
        <v>18</v>
      </c>
      <c r="C182" s="26">
        <v>473500</v>
      </c>
      <c r="D182" s="26">
        <v>500800</v>
      </c>
      <c r="E182" s="46" t="s">
        <v>2438</v>
      </c>
      <c r="F182" s="26">
        <v>54.396605000000001</v>
      </c>
      <c r="G182" s="26">
        <v>-0.88330185000000006</v>
      </c>
      <c r="H182" s="10" t="s">
        <v>77</v>
      </c>
      <c r="I182" s="8" t="s">
        <v>76</v>
      </c>
      <c r="J182" s="9">
        <v>370</v>
      </c>
      <c r="K182" s="11" t="s">
        <v>1062</v>
      </c>
      <c r="L182" s="11" t="s">
        <v>78</v>
      </c>
      <c r="M182" s="8"/>
      <c r="N182" s="8"/>
      <c r="O182" s="11"/>
      <c r="P182" s="22">
        <v>0</v>
      </c>
      <c r="Q182" s="12"/>
      <c r="R182" s="11"/>
      <c r="S182" s="8">
        <v>80</v>
      </c>
      <c r="T182" s="12"/>
      <c r="U182" s="11"/>
      <c r="V182" s="11" t="s">
        <v>594</v>
      </c>
      <c r="W182" s="11"/>
      <c r="X182" s="9"/>
      <c r="Y182" s="9"/>
      <c r="Z182" s="8" t="s">
        <v>1065</v>
      </c>
      <c r="AA182" s="9" t="s">
        <v>1061</v>
      </c>
      <c r="AB182" s="9" t="s">
        <v>2347</v>
      </c>
      <c r="AC182" s="46" t="s">
        <v>2350</v>
      </c>
    </row>
    <row r="183" spans="1:29" ht="33.75" customHeight="1">
      <c r="A183" s="11"/>
      <c r="B183" s="8" t="s">
        <v>18</v>
      </c>
      <c r="C183" s="26">
        <v>472600</v>
      </c>
      <c r="D183" s="26">
        <v>500700</v>
      </c>
      <c r="E183" s="46" t="s">
        <v>2439</v>
      </c>
      <c r="F183" s="26">
        <v>54.396605000000001</v>
      </c>
      <c r="G183" s="26">
        <v>-0.88330185000000006</v>
      </c>
      <c r="H183" s="10" t="s">
        <v>77</v>
      </c>
      <c r="I183" s="8" t="s">
        <v>76</v>
      </c>
      <c r="J183" s="9">
        <v>370</v>
      </c>
      <c r="K183" s="11" t="s">
        <v>975</v>
      </c>
      <c r="L183" s="11" t="s">
        <v>78</v>
      </c>
      <c r="M183" s="8" t="s">
        <v>1064</v>
      </c>
      <c r="N183" s="8" t="s">
        <v>1053</v>
      </c>
      <c r="O183" s="11">
        <f>5760-4595</f>
        <v>1165</v>
      </c>
      <c r="P183" s="22">
        <v>7</v>
      </c>
      <c r="Q183" s="12">
        <f>P183/O183*1000</f>
        <v>6.0085836909871251</v>
      </c>
      <c r="R183" s="11"/>
      <c r="S183" s="8">
        <v>75</v>
      </c>
      <c r="T183" s="12">
        <f>S183/(O183/1000)</f>
        <v>64.377682403433468</v>
      </c>
      <c r="U183" s="11"/>
      <c r="V183" s="11" t="s">
        <v>594</v>
      </c>
      <c r="W183" s="11"/>
      <c r="X183" s="9"/>
      <c r="Y183" s="9"/>
      <c r="Z183" s="8" t="s">
        <v>977</v>
      </c>
      <c r="AA183" s="9" t="s">
        <v>1061</v>
      </c>
      <c r="AB183" s="9" t="s">
        <v>2347</v>
      </c>
      <c r="AC183" s="46" t="s">
        <v>2350</v>
      </c>
    </row>
    <row r="184" spans="1:29" ht="33.75" customHeight="1">
      <c r="A184" s="11"/>
      <c r="B184" s="8" t="s">
        <v>18</v>
      </c>
      <c r="C184" s="26">
        <v>472600</v>
      </c>
      <c r="D184" s="26">
        <v>500700</v>
      </c>
      <c r="E184" s="46" t="s">
        <v>2439</v>
      </c>
      <c r="F184" s="26">
        <v>54.396605000000001</v>
      </c>
      <c r="G184" s="26">
        <v>-0.88330185000000006</v>
      </c>
      <c r="H184" s="10" t="s">
        <v>77</v>
      </c>
      <c r="I184" s="8" t="s">
        <v>76</v>
      </c>
      <c r="J184" s="9">
        <v>370</v>
      </c>
      <c r="K184" s="11">
        <v>7</v>
      </c>
      <c r="L184" s="11" t="s">
        <v>78</v>
      </c>
      <c r="M184" s="8" t="s">
        <v>976</v>
      </c>
      <c r="N184" s="8" t="s">
        <v>1055</v>
      </c>
      <c r="O184" s="11">
        <f>6735-4625</f>
        <v>2110</v>
      </c>
      <c r="P184" s="22">
        <v>5</v>
      </c>
      <c r="Q184" s="12">
        <f>P184/O184*1000</f>
        <v>2.3696682464454977</v>
      </c>
      <c r="R184" s="11"/>
      <c r="S184" s="8">
        <v>54</v>
      </c>
      <c r="T184" s="12">
        <f>S184/(O184/1000)</f>
        <v>25.592417061611375</v>
      </c>
      <c r="U184" s="11"/>
      <c r="V184" s="11" t="s">
        <v>594</v>
      </c>
      <c r="W184" s="11"/>
      <c r="X184" s="9"/>
      <c r="Y184" s="9"/>
      <c r="Z184" s="8" t="s">
        <v>977</v>
      </c>
      <c r="AA184" s="9" t="s">
        <v>1061</v>
      </c>
      <c r="AB184" s="9" t="s">
        <v>2347</v>
      </c>
      <c r="AC184" s="46" t="s">
        <v>2350</v>
      </c>
    </row>
    <row r="185" spans="1:29" ht="33.75" customHeight="1">
      <c r="A185" s="11"/>
      <c r="B185" s="8" t="s">
        <v>18</v>
      </c>
      <c r="C185" s="26">
        <v>472600</v>
      </c>
      <c r="D185" s="26">
        <v>500700</v>
      </c>
      <c r="E185" s="46" t="s">
        <v>2440</v>
      </c>
      <c r="F185" s="26">
        <v>54.396605000000001</v>
      </c>
      <c r="G185" s="26">
        <v>-0.88330185000000006</v>
      </c>
      <c r="H185" s="10" t="s">
        <v>77</v>
      </c>
      <c r="I185" s="8" t="s">
        <v>76</v>
      </c>
      <c r="J185" s="9">
        <v>360.3</v>
      </c>
      <c r="K185" s="11">
        <v>3</v>
      </c>
      <c r="L185" s="11" t="s">
        <v>78</v>
      </c>
      <c r="M185" s="8"/>
      <c r="N185" s="8"/>
      <c r="O185" s="11"/>
      <c r="P185" s="22">
        <v>0</v>
      </c>
      <c r="Q185" s="12"/>
      <c r="R185" s="11"/>
      <c r="S185" s="8">
        <v>38</v>
      </c>
      <c r="T185" s="12"/>
      <c r="U185" s="11" t="s">
        <v>981</v>
      </c>
      <c r="V185" s="11" t="s">
        <v>594</v>
      </c>
      <c r="W185" s="11"/>
      <c r="X185" s="9"/>
      <c r="Y185" s="9"/>
      <c r="Z185" s="8" t="s">
        <v>982</v>
      </c>
      <c r="AA185" s="9" t="s">
        <v>1061</v>
      </c>
      <c r="AB185" s="9" t="s">
        <v>2347</v>
      </c>
      <c r="AC185" s="46" t="s">
        <v>2350</v>
      </c>
    </row>
    <row r="186" spans="1:29" ht="33.75" customHeight="1">
      <c r="A186" s="11"/>
      <c r="B186" s="8" t="s">
        <v>18</v>
      </c>
      <c r="C186" s="26">
        <v>472600</v>
      </c>
      <c r="D186" s="26">
        <v>500700</v>
      </c>
      <c r="E186" s="46" t="s">
        <v>2439</v>
      </c>
      <c r="F186" s="26">
        <v>54.396605000000001</v>
      </c>
      <c r="G186" s="26">
        <v>-0.88330185000000006</v>
      </c>
      <c r="H186" s="10" t="s">
        <v>77</v>
      </c>
      <c r="I186" s="8" t="s">
        <v>76</v>
      </c>
      <c r="J186" s="9">
        <v>354</v>
      </c>
      <c r="K186" s="11" t="s">
        <v>984</v>
      </c>
      <c r="L186" s="11" t="s">
        <v>78</v>
      </c>
      <c r="M186" s="8" t="s">
        <v>986</v>
      </c>
      <c r="N186" s="8" t="s">
        <v>985</v>
      </c>
      <c r="O186" s="11">
        <f>5105-3600</f>
        <v>1505</v>
      </c>
      <c r="P186" s="22">
        <v>6</v>
      </c>
      <c r="Q186" s="12">
        <f>P186/O186*1000</f>
        <v>3.986710963455149</v>
      </c>
      <c r="R186" s="11"/>
      <c r="S186" s="8">
        <v>25</v>
      </c>
      <c r="T186" s="12">
        <f>S186/(O186/1000)</f>
        <v>16.611295681063122</v>
      </c>
      <c r="U186" s="11"/>
      <c r="V186" s="11" t="s">
        <v>594</v>
      </c>
      <c r="W186" s="11"/>
      <c r="X186" s="9"/>
      <c r="Y186" s="9"/>
      <c r="Z186" s="8" t="s">
        <v>987</v>
      </c>
      <c r="AA186" s="9" t="s">
        <v>1061</v>
      </c>
      <c r="AB186" s="9" t="s">
        <v>2347</v>
      </c>
      <c r="AC186" s="46" t="s">
        <v>2350</v>
      </c>
    </row>
    <row r="187" spans="1:29" ht="33.75" customHeight="1">
      <c r="A187" s="11"/>
      <c r="B187" s="8" t="s">
        <v>18</v>
      </c>
      <c r="C187" s="26">
        <v>472600</v>
      </c>
      <c r="D187" s="26">
        <v>500700</v>
      </c>
      <c r="E187" s="46" t="s">
        <v>2439</v>
      </c>
      <c r="F187" s="26">
        <v>54.396605000000001</v>
      </c>
      <c r="G187" s="26">
        <v>-0.88330185000000006</v>
      </c>
      <c r="H187" s="10" t="s">
        <v>77</v>
      </c>
      <c r="I187" s="8" t="s">
        <v>76</v>
      </c>
      <c r="J187" s="9">
        <v>354</v>
      </c>
      <c r="K187" s="11" t="s">
        <v>983</v>
      </c>
      <c r="L187" s="11" t="s">
        <v>78</v>
      </c>
      <c r="M187" s="8"/>
      <c r="N187" s="8"/>
      <c r="O187" s="11"/>
      <c r="P187" s="22">
        <v>0</v>
      </c>
      <c r="Q187" s="12"/>
      <c r="R187" s="11"/>
      <c r="S187" s="8">
        <v>75</v>
      </c>
      <c r="T187" s="12"/>
      <c r="U187" s="11"/>
      <c r="V187" s="11" t="s">
        <v>594</v>
      </c>
      <c r="W187" s="11"/>
      <c r="X187" s="9"/>
      <c r="Y187" s="9"/>
      <c r="Z187" s="8" t="s">
        <v>987</v>
      </c>
      <c r="AA187" s="9" t="s">
        <v>1061</v>
      </c>
      <c r="AB187" s="9" t="s">
        <v>2347</v>
      </c>
      <c r="AC187" s="46" t="s">
        <v>2350</v>
      </c>
    </row>
    <row r="188" spans="1:29" ht="33.75" customHeight="1">
      <c r="A188" s="11"/>
      <c r="B188" s="8" t="s">
        <v>18</v>
      </c>
      <c r="C188" s="26">
        <v>472600</v>
      </c>
      <c r="D188" s="26">
        <v>500700</v>
      </c>
      <c r="E188" s="46" t="s">
        <v>2441</v>
      </c>
      <c r="F188" s="26">
        <v>54.396605000000001</v>
      </c>
      <c r="G188" s="26">
        <v>-0.88330185000000006</v>
      </c>
      <c r="H188" s="13" t="s">
        <v>77</v>
      </c>
      <c r="I188" s="14" t="s">
        <v>76</v>
      </c>
      <c r="J188" s="9">
        <v>354</v>
      </c>
      <c r="K188" s="15">
        <v>8</v>
      </c>
      <c r="L188" s="15" t="s">
        <v>78</v>
      </c>
      <c r="M188" s="8" t="s">
        <v>1050</v>
      </c>
      <c r="N188" s="8" t="s">
        <v>1052</v>
      </c>
      <c r="O188" s="11">
        <f>5755-3645</f>
        <v>2110</v>
      </c>
      <c r="P188" s="22">
        <v>3</v>
      </c>
      <c r="Q188" s="12">
        <f>P188/O188*1000</f>
        <v>1.4218009478672986</v>
      </c>
      <c r="R188" s="11"/>
      <c r="S188" s="8">
        <v>15</v>
      </c>
      <c r="T188" s="12">
        <f>S188/(O188/1000)</f>
        <v>7.109004739336493</v>
      </c>
      <c r="U188" s="11"/>
      <c r="V188" s="11" t="s">
        <v>594</v>
      </c>
      <c r="W188" s="11"/>
      <c r="X188" s="9"/>
      <c r="Y188" s="9"/>
      <c r="Z188" s="8" t="s">
        <v>1061</v>
      </c>
      <c r="AA188" s="9" t="s">
        <v>1061</v>
      </c>
      <c r="AB188" s="9" t="s">
        <v>2347</v>
      </c>
      <c r="AC188" s="46" t="s">
        <v>2350</v>
      </c>
    </row>
    <row r="189" spans="1:29" ht="33.75" customHeight="1">
      <c r="A189" s="11"/>
      <c r="B189" s="8" t="s">
        <v>18</v>
      </c>
      <c r="C189" s="26">
        <v>472600</v>
      </c>
      <c r="D189" s="26">
        <v>500700</v>
      </c>
      <c r="E189" s="46" t="s">
        <v>2439</v>
      </c>
      <c r="F189" s="26">
        <v>54.396605000000001</v>
      </c>
      <c r="G189" s="26">
        <v>-0.88330185000000006</v>
      </c>
      <c r="H189" s="13" t="s">
        <v>77</v>
      </c>
      <c r="I189" s="14" t="s">
        <v>76</v>
      </c>
      <c r="J189" s="9">
        <v>354</v>
      </c>
      <c r="K189" s="15">
        <v>4</v>
      </c>
      <c r="L189" s="15" t="s">
        <v>78</v>
      </c>
      <c r="M189" s="8" t="s">
        <v>1051</v>
      </c>
      <c r="N189" s="8" t="s">
        <v>1060</v>
      </c>
      <c r="O189" s="11">
        <f>5405-5290</f>
        <v>115</v>
      </c>
      <c r="P189" s="22">
        <v>6</v>
      </c>
      <c r="Q189" s="12">
        <f>P189/O189*1000</f>
        <v>52.173913043478258</v>
      </c>
      <c r="R189" s="11"/>
      <c r="S189" s="8">
        <v>21</v>
      </c>
      <c r="T189" s="12">
        <f>S189/(O189/1000)</f>
        <v>182.60869565217391</v>
      </c>
      <c r="U189" s="11"/>
      <c r="V189" s="11" t="s">
        <v>594</v>
      </c>
      <c r="W189" s="11"/>
      <c r="X189" s="9"/>
      <c r="Y189" s="9"/>
      <c r="Z189" s="8" t="s">
        <v>988</v>
      </c>
      <c r="AA189" s="9" t="s">
        <v>1061</v>
      </c>
      <c r="AB189" s="9" t="s">
        <v>2347</v>
      </c>
      <c r="AC189" s="46" t="s">
        <v>2350</v>
      </c>
    </row>
    <row r="190" spans="1:29" ht="33.75" customHeight="1">
      <c r="A190" s="11"/>
      <c r="B190" s="8" t="s">
        <v>18</v>
      </c>
      <c r="C190" s="26">
        <v>472600</v>
      </c>
      <c r="D190" s="26">
        <v>500700</v>
      </c>
      <c r="E190" s="46" t="s">
        <v>2441</v>
      </c>
      <c r="F190" s="26">
        <v>54.396605000000001</v>
      </c>
      <c r="G190" s="26">
        <v>-0.88330185000000006</v>
      </c>
      <c r="H190" s="13" t="s">
        <v>77</v>
      </c>
      <c r="I190" s="14" t="s">
        <v>76</v>
      </c>
      <c r="J190" s="9">
        <v>354</v>
      </c>
      <c r="K190" s="15">
        <v>9</v>
      </c>
      <c r="L190" s="15" t="s">
        <v>78</v>
      </c>
      <c r="M190" s="8" t="s">
        <v>1063</v>
      </c>
      <c r="N190" s="8" t="s">
        <v>1056</v>
      </c>
      <c r="O190" s="11">
        <f>6260-5595</f>
        <v>665</v>
      </c>
      <c r="P190" s="22">
        <v>3</v>
      </c>
      <c r="Q190" s="12">
        <f>P190/O190*1000</f>
        <v>4.511278195488722</v>
      </c>
      <c r="R190" s="11"/>
      <c r="S190" s="8">
        <v>36</v>
      </c>
      <c r="T190" s="12">
        <f>S190/(O190/1000)</f>
        <v>54.13533834586466</v>
      </c>
      <c r="U190" s="11"/>
      <c r="V190" s="11" t="s">
        <v>594</v>
      </c>
      <c r="W190" s="11"/>
      <c r="X190" s="9"/>
      <c r="Y190" s="9"/>
      <c r="Z190" s="8" t="s">
        <v>1061</v>
      </c>
      <c r="AA190" s="9" t="s">
        <v>1061</v>
      </c>
      <c r="AB190" s="9" t="s">
        <v>2347</v>
      </c>
      <c r="AC190" s="46" t="s">
        <v>2350</v>
      </c>
    </row>
    <row r="191" spans="1:29" ht="33.75" customHeight="1">
      <c r="A191" s="11"/>
      <c r="B191" s="8" t="s">
        <v>18</v>
      </c>
      <c r="C191" s="26">
        <v>472600</v>
      </c>
      <c r="D191" s="26">
        <v>500700</v>
      </c>
      <c r="E191" s="46" t="s">
        <v>2441</v>
      </c>
      <c r="F191" s="26">
        <v>54.396605000000001</v>
      </c>
      <c r="G191" s="26">
        <v>-0.88330185000000006</v>
      </c>
      <c r="H191" s="13" t="s">
        <v>77</v>
      </c>
      <c r="I191" s="14" t="s">
        <v>76</v>
      </c>
      <c r="J191" s="9">
        <v>354</v>
      </c>
      <c r="K191" s="15">
        <v>10</v>
      </c>
      <c r="L191" s="15" t="s">
        <v>78</v>
      </c>
      <c r="M191" s="8"/>
      <c r="N191" s="8"/>
      <c r="O191" s="11"/>
      <c r="P191" s="22">
        <v>0</v>
      </c>
      <c r="Q191" s="12"/>
      <c r="R191" s="11"/>
      <c r="S191" s="8">
        <v>31</v>
      </c>
      <c r="T191" s="12"/>
      <c r="U191" s="11"/>
      <c r="V191" s="11" t="s">
        <v>594</v>
      </c>
      <c r="W191" s="11"/>
      <c r="X191" s="9"/>
      <c r="Y191" s="9"/>
      <c r="Z191" s="8" t="s">
        <v>1061</v>
      </c>
      <c r="AA191" s="9" t="s">
        <v>1061</v>
      </c>
      <c r="AB191" s="9" t="s">
        <v>2347</v>
      </c>
      <c r="AC191" s="46" t="s">
        <v>2350</v>
      </c>
    </row>
    <row r="192" spans="1:29" ht="33.75" customHeight="1">
      <c r="A192" s="11"/>
      <c r="B192" s="8" t="s">
        <v>18</v>
      </c>
      <c r="C192" s="26">
        <v>472600</v>
      </c>
      <c r="D192" s="26">
        <v>500700</v>
      </c>
      <c r="E192" s="46" t="s">
        <v>2441</v>
      </c>
      <c r="F192" s="26">
        <v>54.396605000000001</v>
      </c>
      <c r="G192" s="26">
        <v>-0.88330185000000006</v>
      </c>
      <c r="H192" s="13" t="s">
        <v>77</v>
      </c>
      <c r="I192" s="14" t="s">
        <v>76</v>
      </c>
      <c r="J192" s="9">
        <v>354</v>
      </c>
      <c r="K192" s="15">
        <v>2</v>
      </c>
      <c r="L192" s="15" t="s">
        <v>78</v>
      </c>
      <c r="M192" s="8" t="s">
        <v>1059</v>
      </c>
      <c r="N192" s="8" t="s">
        <v>1058</v>
      </c>
      <c r="O192" s="11">
        <f>5945-5210</f>
        <v>735</v>
      </c>
      <c r="P192" s="22">
        <v>3</v>
      </c>
      <c r="Q192" s="12">
        <f>P192/O192*1000</f>
        <v>4.0816326530612246</v>
      </c>
      <c r="R192" s="11"/>
      <c r="S192" s="8">
        <v>20</v>
      </c>
      <c r="T192" s="12">
        <f>S192/(O192/1000)</f>
        <v>27.210884353741498</v>
      </c>
      <c r="U192" s="11"/>
      <c r="V192" s="11" t="s">
        <v>594</v>
      </c>
      <c r="W192" s="11"/>
      <c r="X192" s="9"/>
      <c r="Y192" s="9"/>
      <c r="Z192" s="8" t="s">
        <v>1061</v>
      </c>
      <c r="AA192" s="9" t="s">
        <v>1061</v>
      </c>
      <c r="AB192" s="9" t="s">
        <v>2347</v>
      </c>
      <c r="AC192" s="46" t="s">
        <v>2350</v>
      </c>
    </row>
    <row r="193" spans="1:29" ht="33.75" customHeight="1">
      <c r="A193" s="11">
        <v>76</v>
      </c>
      <c r="B193" s="8" t="s">
        <v>18</v>
      </c>
      <c r="C193" s="9">
        <v>459800</v>
      </c>
      <c r="D193" s="9">
        <v>495800</v>
      </c>
      <c r="E193" s="46" t="s">
        <v>2440</v>
      </c>
      <c r="F193" s="9">
        <v>54.354236</v>
      </c>
      <c r="G193" s="9">
        <v>-1.0814029999999999</v>
      </c>
      <c r="H193" s="10" t="s">
        <v>360</v>
      </c>
      <c r="I193" s="8" t="s">
        <v>359</v>
      </c>
      <c r="J193" s="9">
        <v>346</v>
      </c>
      <c r="K193" s="11" t="s">
        <v>43</v>
      </c>
      <c r="L193" s="11" t="s">
        <v>2</v>
      </c>
      <c r="M193" s="8">
        <v>5670</v>
      </c>
      <c r="N193" s="8">
        <v>4890</v>
      </c>
      <c r="O193" s="11">
        <f>M193-N193</f>
        <v>780</v>
      </c>
      <c r="P193" s="22">
        <v>4</v>
      </c>
      <c r="Q193" s="12">
        <f>P193/O193*1000</f>
        <v>5.1282051282051286</v>
      </c>
      <c r="R193" s="11" t="s">
        <v>40</v>
      </c>
      <c r="S193" s="8">
        <v>35</v>
      </c>
      <c r="T193" s="12">
        <f>S193/(O193/1000)</f>
        <v>44.871794871794869</v>
      </c>
      <c r="U193" s="11"/>
      <c r="V193" s="11"/>
      <c r="W193" s="11" t="s">
        <v>361</v>
      </c>
      <c r="X193" s="9" t="s">
        <v>362</v>
      </c>
      <c r="Y193" s="9" t="s">
        <v>43</v>
      </c>
      <c r="Z193" s="8" t="s">
        <v>363</v>
      </c>
      <c r="AA193" s="9"/>
      <c r="AB193" s="9" t="s">
        <v>2347</v>
      </c>
      <c r="AC193" s="46" t="s">
        <v>2350</v>
      </c>
    </row>
    <row r="194" spans="1:29" ht="33.75" customHeight="1">
      <c r="A194" s="11">
        <v>77</v>
      </c>
      <c r="B194" s="8" t="s">
        <v>18</v>
      </c>
      <c r="C194" s="9">
        <v>476000</v>
      </c>
      <c r="D194" s="9">
        <v>499700</v>
      </c>
      <c r="E194" s="46" t="s">
        <v>2442</v>
      </c>
      <c r="F194" s="9">
        <v>55.285572999999999</v>
      </c>
      <c r="G194" s="9">
        <v>-0.80495309999999998</v>
      </c>
      <c r="H194" s="10" t="s">
        <v>2320</v>
      </c>
      <c r="I194" s="8" t="s">
        <v>364</v>
      </c>
      <c r="J194" s="9">
        <v>200</v>
      </c>
      <c r="K194" s="11" t="s">
        <v>43</v>
      </c>
      <c r="L194" s="11" t="s">
        <v>2</v>
      </c>
      <c r="M194" s="8">
        <v>2640</v>
      </c>
      <c r="N194" s="8">
        <v>1570</v>
      </c>
      <c r="O194" s="11">
        <f>M194-N194</f>
        <v>1070</v>
      </c>
      <c r="P194" s="22">
        <v>4</v>
      </c>
      <c r="Q194" s="12">
        <f>P194/O194*1000</f>
        <v>3.7383177570093458</v>
      </c>
      <c r="R194" s="11" t="s">
        <v>40</v>
      </c>
      <c r="S194" s="8">
        <v>30</v>
      </c>
      <c r="T194" s="12">
        <f>S194/(O194/1000)</f>
        <v>28.037383177570092</v>
      </c>
      <c r="U194" s="11"/>
      <c r="V194" s="11"/>
      <c r="W194" s="11" t="s">
        <v>365</v>
      </c>
      <c r="X194" s="9" t="s">
        <v>362</v>
      </c>
      <c r="Y194" s="9" t="s">
        <v>43</v>
      </c>
      <c r="Z194" s="8" t="s">
        <v>366</v>
      </c>
      <c r="AA194" s="9"/>
      <c r="AB194" s="9" t="s">
        <v>2347</v>
      </c>
      <c r="AC194" s="46" t="s">
        <v>2350</v>
      </c>
    </row>
    <row r="195" spans="1:29" ht="33.75" customHeight="1">
      <c r="A195" s="11">
        <v>78</v>
      </c>
      <c r="B195" s="8" t="s">
        <v>18</v>
      </c>
      <c r="C195" s="9">
        <v>485300</v>
      </c>
      <c r="D195" s="9">
        <v>497700</v>
      </c>
      <c r="E195" s="46" t="s">
        <v>2443</v>
      </c>
      <c r="F195" s="9">
        <v>54.367685000000002</v>
      </c>
      <c r="G195" s="9">
        <v>-0.68860504</v>
      </c>
      <c r="H195" s="10" t="s">
        <v>367</v>
      </c>
      <c r="I195" s="8" t="s">
        <v>368</v>
      </c>
      <c r="J195" s="9">
        <v>164</v>
      </c>
      <c r="K195" s="11" t="s">
        <v>43</v>
      </c>
      <c r="L195" s="11" t="s">
        <v>2</v>
      </c>
      <c r="M195" s="8">
        <v>4720</v>
      </c>
      <c r="N195" s="8">
        <v>390</v>
      </c>
      <c r="O195" s="11">
        <f>M195-N195</f>
        <v>4330</v>
      </c>
      <c r="P195" s="22">
        <v>6</v>
      </c>
      <c r="Q195" s="12">
        <f>P195/O195*1000</f>
        <v>1.3856812933025404</v>
      </c>
      <c r="R195" s="11" t="s">
        <v>40</v>
      </c>
      <c r="S195" s="8">
        <v>100</v>
      </c>
      <c r="T195" s="12">
        <f>S195/(O195/1000)</f>
        <v>23.094688221709006</v>
      </c>
      <c r="U195" s="11"/>
      <c r="V195" s="11"/>
      <c r="W195" s="11" t="s">
        <v>369</v>
      </c>
      <c r="X195" s="9" t="s">
        <v>362</v>
      </c>
      <c r="Y195" s="9" t="s">
        <v>43</v>
      </c>
      <c r="Z195" s="8" t="s">
        <v>370</v>
      </c>
      <c r="AA195" s="9"/>
      <c r="AB195" s="9" t="s">
        <v>2347</v>
      </c>
      <c r="AC195" s="46" t="s">
        <v>2350</v>
      </c>
    </row>
    <row r="196" spans="1:29" ht="33.75" customHeight="1">
      <c r="A196" s="11"/>
      <c r="B196" s="8" t="s">
        <v>18</v>
      </c>
      <c r="C196" s="26">
        <v>487600</v>
      </c>
      <c r="D196" s="26">
        <v>496000</v>
      </c>
      <c r="E196" s="9" t="s">
        <v>623</v>
      </c>
      <c r="F196" s="26">
        <v>54.352021000000001</v>
      </c>
      <c r="G196" s="26">
        <v>-0.65371462999999996</v>
      </c>
      <c r="H196" s="11" t="s">
        <v>512</v>
      </c>
      <c r="I196" s="8" t="s">
        <v>489</v>
      </c>
      <c r="J196" s="9">
        <v>244</v>
      </c>
      <c r="K196" s="11"/>
      <c r="L196" s="11" t="s">
        <v>2</v>
      </c>
      <c r="M196" s="8"/>
      <c r="N196" s="8"/>
      <c r="O196" s="11"/>
      <c r="P196" s="22">
        <v>0</v>
      </c>
      <c r="Q196" s="12"/>
      <c r="R196" s="11" t="s">
        <v>40</v>
      </c>
      <c r="S196" s="8">
        <v>70</v>
      </c>
      <c r="T196" s="12"/>
      <c r="U196" s="11">
        <v>500</v>
      </c>
      <c r="V196" s="11" t="s">
        <v>594</v>
      </c>
      <c r="W196" s="11" t="s">
        <v>624</v>
      </c>
      <c r="X196" s="9"/>
      <c r="Y196" s="9"/>
      <c r="Z196" s="8" t="s">
        <v>493</v>
      </c>
      <c r="AA196" s="9"/>
      <c r="AB196" s="9" t="s">
        <v>2347</v>
      </c>
      <c r="AC196" s="46" t="s">
        <v>2350</v>
      </c>
    </row>
    <row r="197" spans="1:29" ht="33.75" customHeight="1">
      <c r="A197" s="11"/>
      <c r="B197" s="8" t="s">
        <v>18</v>
      </c>
      <c r="C197" s="26">
        <v>483400</v>
      </c>
      <c r="D197" s="26">
        <v>497800</v>
      </c>
      <c r="E197" s="9" t="s">
        <v>623</v>
      </c>
      <c r="F197" s="26">
        <v>54.368896999999997</v>
      </c>
      <c r="G197" s="26">
        <v>-0.71781282000000002</v>
      </c>
      <c r="H197" s="11" t="s">
        <v>647</v>
      </c>
      <c r="I197" s="8" t="s">
        <v>490</v>
      </c>
      <c r="J197" s="9">
        <v>250</v>
      </c>
      <c r="K197" s="11"/>
      <c r="L197" s="11" t="s">
        <v>2</v>
      </c>
      <c r="M197" s="8"/>
      <c r="N197" s="8"/>
      <c r="O197" s="11"/>
      <c r="P197" s="22">
        <v>0</v>
      </c>
      <c r="Q197" s="12"/>
      <c r="R197" s="11" t="s">
        <v>40</v>
      </c>
      <c r="S197" s="8">
        <v>32</v>
      </c>
      <c r="T197" s="12"/>
      <c r="U197" s="11">
        <v>500</v>
      </c>
      <c r="V197" s="11" t="s">
        <v>594</v>
      </c>
      <c r="W197" s="11" t="s">
        <v>624</v>
      </c>
      <c r="X197" s="9"/>
      <c r="Y197" s="9"/>
      <c r="Z197" s="8" t="s">
        <v>493</v>
      </c>
      <c r="AA197" s="9"/>
      <c r="AB197" s="9" t="s">
        <v>2347</v>
      </c>
      <c r="AC197" s="46" t="s">
        <v>2350</v>
      </c>
    </row>
    <row r="198" spans="1:29" ht="33.75" customHeight="1">
      <c r="A198" s="11"/>
      <c r="B198" s="17" t="s">
        <v>18</v>
      </c>
      <c r="C198" s="26">
        <v>483200</v>
      </c>
      <c r="D198" s="26">
        <v>400500</v>
      </c>
      <c r="E198" s="9" t="s">
        <v>623</v>
      </c>
      <c r="F198" s="26">
        <v>53.494635000000002</v>
      </c>
      <c r="G198" s="26">
        <v>-0.74734822999999995</v>
      </c>
      <c r="H198" s="11" t="s">
        <v>513</v>
      </c>
      <c r="I198" s="8" t="s">
        <v>491</v>
      </c>
      <c r="J198" s="9">
        <v>170</v>
      </c>
      <c r="K198" s="11"/>
      <c r="L198" s="11" t="s">
        <v>2</v>
      </c>
      <c r="M198" s="8"/>
      <c r="N198" s="8"/>
      <c r="O198" s="11"/>
      <c r="P198" s="22">
        <v>0</v>
      </c>
      <c r="Q198" s="12"/>
      <c r="R198" s="11" t="s">
        <v>40</v>
      </c>
      <c r="S198" s="8">
        <v>111</v>
      </c>
      <c r="T198" s="12"/>
      <c r="U198" s="11">
        <v>500</v>
      </c>
      <c r="V198" s="11" t="s">
        <v>594</v>
      </c>
      <c r="W198" s="11" t="s">
        <v>624</v>
      </c>
      <c r="X198" s="9"/>
      <c r="Y198" s="9"/>
      <c r="Z198" s="8" t="s">
        <v>493</v>
      </c>
      <c r="AA198" s="9"/>
      <c r="AB198" s="9" t="s">
        <v>2347</v>
      </c>
      <c r="AC198" s="46" t="s">
        <v>2350</v>
      </c>
    </row>
    <row r="199" spans="1:29" ht="33.75" customHeight="1">
      <c r="A199" s="11"/>
      <c r="B199" s="17" t="s">
        <v>18</v>
      </c>
      <c r="C199" s="26">
        <v>483000</v>
      </c>
      <c r="D199" s="26">
        <v>400000</v>
      </c>
      <c r="E199" s="9" t="s">
        <v>623</v>
      </c>
      <c r="F199" s="26">
        <v>53.490172999999999</v>
      </c>
      <c r="G199" s="26">
        <v>-0.75049421999999999</v>
      </c>
      <c r="H199" s="11" t="s">
        <v>514</v>
      </c>
      <c r="I199" s="8" t="s">
        <v>492</v>
      </c>
      <c r="J199" s="9">
        <v>200</v>
      </c>
      <c r="K199" s="11"/>
      <c r="L199" s="11" t="s">
        <v>2</v>
      </c>
      <c r="M199" s="8" t="s">
        <v>764</v>
      </c>
      <c r="N199" s="8"/>
      <c r="O199" s="11"/>
      <c r="P199" s="22">
        <v>1</v>
      </c>
      <c r="Q199" s="12"/>
      <c r="R199" s="11" t="s">
        <v>40</v>
      </c>
      <c r="S199" s="8">
        <v>57</v>
      </c>
      <c r="T199" s="12"/>
      <c r="U199" s="11">
        <v>500</v>
      </c>
      <c r="V199" s="11" t="s">
        <v>594</v>
      </c>
      <c r="W199" s="11" t="s">
        <v>624</v>
      </c>
      <c r="X199" s="9"/>
      <c r="Y199" s="9"/>
      <c r="Z199" s="8" t="s">
        <v>493</v>
      </c>
      <c r="AA199" s="9"/>
      <c r="AB199" s="9" t="s">
        <v>2347</v>
      </c>
      <c r="AC199" s="46" t="s">
        <v>2350</v>
      </c>
    </row>
    <row r="200" spans="1:29" ht="33.75" customHeight="1">
      <c r="A200" s="11"/>
      <c r="B200" s="8" t="s">
        <v>18</v>
      </c>
      <c r="C200" s="26">
        <v>448600</v>
      </c>
      <c r="D200" s="26">
        <v>509700</v>
      </c>
      <c r="E200" s="48" t="s">
        <v>2444</v>
      </c>
      <c r="F200" s="26">
        <v>54.480333000000002</v>
      </c>
      <c r="G200" s="26">
        <v>-1.2514400999999999</v>
      </c>
      <c r="H200" s="10" t="s">
        <v>833</v>
      </c>
      <c r="I200" s="8" t="s">
        <v>832</v>
      </c>
      <c r="J200" s="9">
        <v>70</v>
      </c>
      <c r="K200" s="11"/>
      <c r="L200" s="11" t="s">
        <v>781</v>
      </c>
      <c r="M200" s="8" t="s">
        <v>835</v>
      </c>
      <c r="N200" s="8"/>
      <c r="O200" s="11"/>
      <c r="P200" s="22">
        <v>1</v>
      </c>
      <c r="Q200" s="12"/>
      <c r="R200" s="11"/>
      <c r="S200" s="8">
        <v>115</v>
      </c>
      <c r="T200" s="12"/>
      <c r="U200" s="11" t="s">
        <v>834</v>
      </c>
      <c r="V200" s="11" t="s">
        <v>594</v>
      </c>
      <c r="W200" s="11"/>
      <c r="X200" s="9"/>
      <c r="Y200" s="9"/>
      <c r="Z200" s="8" t="s">
        <v>836</v>
      </c>
      <c r="AA200" s="9"/>
      <c r="AB200" s="9" t="s">
        <v>2347</v>
      </c>
      <c r="AC200" s="46" t="s">
        <v>2350</v>
      </c>
    </row>
    <row r="201" spans="1:29" ht="33.75" customHeight="1">
      <c r="A201" s="9"/>
      <c r="B201" s="8" t="s">
        <v>18</v>
      </c>
      <c r="C201" s="26">
        <v>460900</v>
      </c>
      <c r="D201" s="26">
        <v>509700</v>
      </c>
      <c r="E201" s="48" t="s">
        <v>2444</v>
      </c>
      <c r="F201" s="26">
        <v>54.479008999999998</v>
      </c>
      <c r="G201" s="26">
        <v>-1.0616329</v>
      </c>
      <c r="H201" s="10" t="s">
        <v>839</v>
      </c>
      <c r="I201" s="8" t="s">
        <v>837</v>
      </c>
      <c r="J201" s="9">
        <v>168</v>
      </c>
      <c r="K201" s="11" t="s">
        <v>577</v>
      </c>
      <c r="L201" s="11"/>
      <c r="M201" s="8" t="s">
        <v>842</v>
      </c>
      <c r="N201" s="8"/>
      <c r="O201" s="11"/>
      <c r="P201" s="22">
        <v>1</v>
      </c>
      <c r="Q201" s="12"/>
      <c r="R201" s="11"/>
      <c r="S201" s="8">
        <v>23</v>
      </c>
      <c r="T201" s="12"/>
      <c r="U201" s="11" t="s">
        <v>834</v>
      </c>
      <c r="V201" s="11" t="s">
        <v>594</v>
      </c>
      <c r="W201" s="11"/>
      <c r="X201" s="9"/>
      <c r="Y201" s="9"/>
      <c r="Z201" s="8" t="s">
        <v>844</v>
      </c>
      <c r="AA201" s="9"/>
      <c r="AB201" s="9" t="s">
        <v>2347</v>
      </c>
      <c r="AC201" s="46" t="s">
        <v>2350</v>
      </c>
    </row>
    <row r="202" spans="1:29" ht="33.75" customHeight="1">
      <c r="A202" s="9"/>
      <c r="B202" s="8" t="s">
        <v>18</v>
      </c>
      <c r="C202" s="26">
        <v>463500</v>
      </c>
      <c r="D202" s="26">
        <v>509500</v>
      </c>
      <c r="E202" s="48" t="s">
        <v>2444</v>
      </c>
      <c r="F202" s="26">
        <v>54.476894000000001</v>
      </c>
      <c r="G202" s="26">
        <v>-1.0215559999999999</v>
      </c>
      <c r="H202" s="10" t="s">
        <v>840</v>
      </c>
      <c r="I202" s="8" t="s">
        <v>838</v>
      </c>
      <c r="J202" s="9">
        <v>178</v>
      </c>
      <c r="K202" s="11"/>
      <c r="L202" s="11"/>
      <c r="M202" s="8" t="s">
        <v>843</v>
      </c>
      <c r="N202" s="8"/>
      <c r="O202" s="11"/>
      <c r="P202" s="22">
        <v>1</v>
      </c>
      <c r="Q202" s="12"/>
      <c r="R202" s="11"/>
      <c r="S202" s="8">
        <v>80</v>
      </c>
      <c r="T202" s="12"/>
      <c r="U202" s="11" t="s">
        <v>834</v>
      </c>
      <c r="V202" s="11" t="s">
        <v>594</v>
      </c>
      <c r="W202" s="11"/>
      <c r="X202" s="9"/>
      <c r="Y202" s="9"/>
      <c r="Z202" s="8" t="s">
        <v>844</v>
      </c>
      <c r="AA202" s="9"/>
      <c r="AB202" s="9" t="s">
        <v>2347</v>
      </c>
      <c r="AC202" s="46" t="s">
        <v>2350</v>
      </c>
    </row>
    <row r="203" spans="1:29" ht="33.75" customHeight="1">
      <c r="A203" s="9"/>
      <c r="B203" s="8" t="s">
        <v>18</v>
      </c>
      <c r="C203" s="26">
        <v>469500</v>
      </c>
      <c r="D203" s="26">
        <v>511000</v>
      </c>
      <c r="E203" s="48" t="s">
        <v>2444</v>
      </c>
      <c r="F203" s="26">
        <v>54.489587</v>
      </c>
      <c r="G203" s="26">
        <v>-0.92862688999999998</v>
      </c>
      <c r="H203" s="10" t="s">
        <v>846</v>
      </c>
      <c r="I203" s="8" t="s">
        <v>845</v>
      </c>
      <c r="J203" s="9">
        <v>235</v>
      </c>
      <c r="K203" s="11" t="s">
        <v>841</v>
      </c>
      <c r="L203" s="11"/>
      <c r="M203" s="8"/>
      <c r="N203" s="8"/>
      <c r="O203" s="11"/>
      <c r="P203" s="22">
        <v>0</v>
      </c>
      <c r="Q203" s="12"/>
      <c r="R203" s="11"/>
      <c r="S203" s="8">
        <v>70</v>
      </c>
      <c r="T203" s="12"/>
      <c r="U203" s="11" t="s">
        <v>834</v>
      </c>
      <c r="V203" s="11" t="s">
        <v>594</v>
      </c>
      <c r="W203" s="11"/>
      <c r="X203" s="9"/>
      <c r="Y203" s="9"/>
      <c r="Z203" s="8" t="s">
        <v>849</v>
      </c>
      <c r="AA203" s="9"/>
      <c r="AB203" s="9" t="s">
        <v>2347</v>
      </c>
      <c r="AC203" s="46" t="s">
        <v>2350</v>
      </c>
    </row>
    <row r="204" spans="1:29" ht="33.75" customHeight="1">
      <c r="A204" s="9"/>
      <c r="B204" s="8" t="s">
        <v>18</v>
      </c>
      <c r="C204" s="26">
        <v>469500</v>
      </c>
      <c r="D204" s="26">
        <v>511000</v>
      </c>
      <c r="E204" s="48" t="s">
        <v>2444</v>
      </c>
      <c r="F204" s="26">
        <v>54.489587</v>
      </c>
      <c r="G204" s="26">
        <v>-0.92862688999999998</v>
      </c>
      <c r="H204" s="10" t="s">
        <v>846</v>
      </c>
      <c r="I204" s="8" t="s">
        <v>845</v>
      </c>
      <c r="J204" s="9">
        <v>235</v>
      </c>
      <c r="K204" s="11" t="s">
        <v>577</v>
      </c>
      <c r="L204" s="11"/>
      <c r="M204" s="8"/>
      <c r="N204" s="8"/>
      <c r="O204" s="11"/>
      <c r="P204" s="22">
        <v>0</v>
      </c>
      <c r="Q204" s="12"/>
      <c r="R204" s="11"/>
      <c r="S204" s="8">
        <v>70</v>
      </c>
      <c r="T204" s="12"/>
      <c r="U204" s="11" t="s">
        <v>834</v>
      </c>
      <c r="V204" s="11" t="s">
        <v>594</v>
      </c>
      <c r="W204" s="11"/>
      <c r="X204" s="9"/>
      <c r="Y204" s="9"/>
      <c r="Z204" s="8" t="s">
        <v>849</v>
      </c>
      <c r="AA204" s="9"/>
      <c r="AB204" s="9" t="s">
        <v>2347</v>
      </c>
      <c r="AC204" s="46" t="s">
        <v>2350</v>
      </c>
    </row>
    <row r="205" spans="1:29" ht="33.75" customHeight="1">
      <c r="A205" s="9"/>
      <c r="B205" s="8" t="s">
        <v>18</v>
      </c>
      <c r="C205" s="26">
        <v>476600</v>
      </c>
      <c r="D205" s="26">
        <v>511900</v>
      </c>
      <c r="E205" s="48" t="s">
        <v>2444</v>
      </c>
      <c r="F205" s="26">
        <v>54.496653000000002</v>
      </c>
      <c r="G205" s="26">
        <v>-0.81881448000000001</v>
      </c>
      <c r="H205" s="10" t="s">
        <v>848</v>
      </c>
      <c r="I205" s="8" t="s">
        <v>847</v>
      </c>
      <c r="J205" s="9">
        <v>195</v>
      </c>
      <c r="K205" s="11"/>
      <c r="L205" s="11"/>
      <c r="M205" s="8"/>
      <c r="N205" s="8"/>
      <c r="O205" s="11"/>
      <c r="P205" s="22">
        <v>0</v>
      </c>
      <c r="Q205" s="12"/>
      <c r="R205" s="11"/>
      <c r="S205" s="8">
        <v>50</v>
      </c>
      <c r="T205" s="12"/>
      <c r="U205" s="11" t="s">
        <v>834</v>
      </c>
      <c r="V205" s="11" t="s">
        <v>594</v>
      </c>
      <c r="W205" s="11"/>
      <c r="X205" s="9"/>
      <c r="Y205" s="9"/>
      <c r="Z205" s="8" t="s">
        <v>849</v>
      </c>
      <c r="AA205" s="9"/>
      <c r="AB205" s="9" t="s">
        <v>2347</v>
      </c>
      <c r="AC205" s="46" t="s">
        <v>2350</v>
      </c>
    </row>
    <row r="206" spans="1:29" ht="33.75" customHeight="1">
      <c r="A206" s="9"/>
      <c r="B206" s="8" t="s">
        <v>18</v>
      </c>
      <c r="C206" s="9">
        <v>468300</v>
      </c>
      <c r="D206" s="9">
        <v>503800</v>
      </c>
      <c r="E206" s="46" t="s">
        <v>2442</v>
      </c>
      <c r="F206" s="9">
        <v>54.425055</v>
      </c>
      <c r="G206" s="9">
        <v>-0.94880673000000004</v>
      </c>
      <c r="H206" s="10" t="s">
        <v>990</v>
      </c>
      <c r="I206" s="8" t="s">
        <v>989</v>
      </c>
      <c r="J206" s="9">
        <v>302</v>
      </c>
      <c r="K206" s="11" t="s">
        <v>993</v>
      </c>
      <c r="L206" s="11"/>
      <c r="M206" s="8"/>
      <c r="N206" s="8"/>
      <c r="O206" s="11"/>
      <c r="P206" s="22">
        <v>0</v>
      </c>
      <c r="Q206" s="12"/>
      <c r="R206" s="11"/>
      <c r="S206" s="8">
        <v>44</v>
      </c>
      <c r="T206" s="12"/>
      <c r="U206" s="11"/>
      <c r="V206" s="11"/>
      <c r="W206" s="11"/>
      <c r="X206" s="9"/>
      <c r="Y206" s="9"/>
      <c r="Z206" s="8" t="s">
        <v>995</v>
      </c>
      <c r="AA206" s="9"/>
      <c r="AB206" s="9" t="s">
        <v>2347</v>
      </c>
      <c r="AC206" s="46" t="s">
        <v>2350</v>
      </c>
    </row>
    <row r="207" spans="1:29" ht="33.75" customHeight="1">
      <c r="A207" s="9"/>
      <c r="B207" s="8" t="s">
        <v>18</v>
      </c>
      <c r="C207" s="9">
        <v>468300</v>
      </c>
      <c r="D207" s="9">
        <v>503800</v>
      </c>
      <c r="E207" s="46" t="s">
        <v>2442</v>
      </c>
      <c r="F207" s="9">
        <v>54.425055</v>
      </c>
      <c r="G207" s="9">
        <v>-0.94880673000000004</v>
      </c>
      <c r="H207" s="10" t="s">
        <v>990</v>
      </c>
      <c r="I207" s="8" t="s">
        <v>989</v>
      </c>
      <c r="J207" s="9">
        <v>302</v>
      </c>
      <c r="K207" s="11" t="s">
        <v>994</v>
      </c>
      <c r="L207" s="11"/>
      <c r="M207" s="8" t="s">
        <v>991</v>
      </c>
      <c r="N207" s="8"/>
      <c r="O207" s="11"/>
      <c r="P207" s="22">
        <v>1</v>
      </c>
      <c r="Q207" s="12"/>
      <c r="R207" s="11"/>
      <c r="S207" s="8">
        <v>40</v>
      </c>
      <c r="T207" s="12"/>
      <c r="U207" s="11"/>
      <c r="V207" s="11"/>
      <c r="W207" s="11"/>
      <c r="X207" s="9"/>
      <c r="Y207" s="9"/>
      <c r="Z207" s="8" t="s">
        <v>995</v>
      </c>
      <c r="AA207" s="9"/>
      <c r="AB207" s="9" t="s">
        <v>2347</v>
      </c>
      <c r="AC207" s="46" t="s">
        <v>2350</v>
      </c>
    </row>
    <row r="208" spans="1:29" ht="33.75" customHeight="1">
      <c r="A208" s="9"/>
      <c r="B208" s="8" t="s">
        <v>18</v>
      </c>
      <c r="C208" s="9">
        <v>468300</v>
      </c>
      <c r="D208" s="9">
        <v>503800</v>
      </c>
      <c r="E208" s="46" t="s">
        <v>2442</v>
      </c>
      <c r="F208" s="9">
        <v>54.425055</v>
      </c>
      <c r="G208" s="9">
        <v>-0.94880673000000004</v>
      </c>
      <c r="H208" s="10" t="s">
        <v>990</v>
      </c>
      <c r="I208" s="8" t="s">
        <v>992</v>
      </c>
      <c r="J208" s="9">
        <v>302</v>
      </c>
      <c r="K208" s="11"/>
      <c r="L208" s="11"/>
      <c r="M208" s="8"/>
      <c r="N208" s="8"/>
      <c r="O208" s="11"/>
      <c r="P208" s="22">
        <v>0</v>
      </c>
      <c r="Q208" s="12"/>
      <c r="R208" s="11"/>
      <c r="S208" s="8">
        <v>22</v>
      </c>
      <c r="T208" s="12"/>
      <c r="U208" s="11"/>
      <c r="V208" s="11"/>
      <c r="W208" s="11"/>
      <c r="X208" s="9"/>
      <c r="Y208" s="9"/>
      <c r="Z208" s="8" t="s">
        <v>995</v>
      </c>
      <c r="AA208" s="9"/>
      <c r="AB208" s="9" t="s">
        <v>2347</v>
      </c>
      <c r="AC208" s="46" t="s">
        <v>2350</v>
      </c>
    </row>
    <row r="209" spans="1:29" ht="33.75" customHeight="1">
      <c r="A209" s="9"/>
      <c r="B209" s="8" t="s">
        <v>18</v>
      </c>
      <c r="C209" s="26">
        <v>501500</v>
      </c>
      <c r="D209" s="26">
        <v>483800</v>
      </c>
      <c r="E209" s="46" t="s">
        <v>2445</v>
      </c>
      <c r="F209" s="26">
        <v>54.239843999999998</v>
      </c>
      <c r="G209" s="26">
        <v>-0.44407232000000002</v>
      </c>
      <c r="H209" s="10" t="s">
        <v>1348</v>
      </c>
      <c r="I209" s="8" t="s">
        <v>1340</v>
      </c>
      <c r="J209" s="9">
        <v>26</v>
      </c>
      <c r="K209" s="11" t="s">
        <v>1341</v>
      </c>
      <c r="L209" s="11"/>
      <c r="M209" s="8"/>
      <c r="N209" s="8"/>
      <c r="O209" s="11"/>
      <c r="P209" s="22">
        <v>0</v>
      </c>
      <c r="Q209" s="12"/>
      <c r="R209" s="11"/>
      <c r="S209" s="8">
        <v>45</v>
      </c>
      <c r="T209" s="12"/>
      <c r="U209" s="11"/>
      <c r="V209" s="11"/>
      <c r="W209" s="11"/>
      <c r="X209" s="9"/>
      <c r="Y209" s="9"/>
      <c r="Z209" s="58" t="s">
        <v>1354</v>
      </c>
      <c r="AA209" s="9"/>
      <c r="AB209" s="9" t="s">
        <v>2347</v>
      </c>
      <c r="AC209" s="46" t="s">
        <v>2350</v>
      </c>
    </row>
    <row r="210" spans="1:29" ht="33.75" customHeight="1">
      <c r="A210" s="9"/>
      <c r="B210" s="8" t="s">
        <v>18</v>
      </c>
      <c r="C210" s="26">
        <v>503154</v>
      </c>
      <c r="D210" s="26">
        <v>481070</v>
      </c>
      <c r="E210" s="46" t="s">
        <v>2445</v>
      </c>
      <c r="F210" s="26">
        <v>54.214987999999998</v>
      </c>
      <c r="G210" s="26">
        <v>-0.41964087</v>
      </c>
      <c r="H210" s="10" t="s">
        <v>1346</v>
      </c>
      <c r="I210" s="8" t="s">
        <v>1342</v>
      </c>
      <c r="J210" s="9">
        <v>26</v>
      </c>
      <c r="K210" s="11" t="s">
        <v>1233</v>
      </c>
      <c r="L210" s="11"/>
      <c r="M210" s="8"/>
      <c r="N210" s="8"/>
      <c r="O210" s="11"/>
      <c r="P210" s="22">
        <v>0</v>
      </c>
      <c r="Q210" s="12"/>
      <c r="R210" s="11"/>
      <c r="S210" s="8">
        <v>40</v>
      </c>
      <c r="T210" s="12"/>
      <c r="U210" s="11"/>
      <c r="V210" s="11"/>
      <c r="W210" s="11"/>
      <c r="X210" s="9"/>
      <c r="Y210" s="9"/>
      <c r="Z210" s="8" t="s">
        <v>1354</v>
      </c>
      <c r="AA210" s="9"/>
      <c r="AB210" s="9" t="s">
        <v>2347</v>
      </c>
      <c r="AC210" s="46" t="s">
        <v>2350</v>
      </c>
    </row>
    <row r="211" spans="1:29" ht="33.75" customHeight="1">
      <c r="A211" s="9"/>
      <c r="B211" s="8" t="s">
        <v>18</v>
      </c>
      <c r="C211" s="26">
        <v>503154</v>
      </c>
      <c r="D211" s="26">
        <v>481070</v>
      </c>
      <c r="E211" s="46" t="s">
        <v>2445</v>
      </c>
      <c r="F211" s="26">
        <v>54.214987999999998</v>
      </c>
      <c r="G211" s="26">
        <v>-0.41964087</v>
      </c>
      <c r="H211" s="10" t="s">
        <v>1346</v>
      </c>
      <c r="I211" s="8" t="s">
        <v>1342</v>
      </c>
      <c r="J211" s="9">
        <v>26</v>
      </c>
      <c r="K211" s="11" t="s">
        <v>1343</v>
      </c>
      <c r="L211" s="11"/>
      <c r="M211" s="8"/>
      <c r="N211" s="8"/>
      <c r="O211" s="11"/>
      <c r="P211" s="22">
        <v>0</v>
      </c>
      <c r="Q211" s="12"/>
      <c r="R211" s="11"/>
      <c r="S211" s="8">
        <v>14</v>
      </c>
      <c r="T211" s="12"/>
      <c r="U211" s="11"/>
      <c r="V211" s="11"/>
      <c r="W211" s="11"/>
      <c r="X211" s="9"/>
      <c r="Y211" s="9"/>
      <c r="Z211" s="8" t="s">
        <v>1354</v>
      </c>
      <c r="AA211" s="9"/>
      <c r="AB211" s="9" t="s">
        <v>2347</v>
      </c>
      <c r="AC211" s="46" t="s">
        <v>2350</v>
      </c>
    </row>
    <row r="212" spans="1:29" ht="33.75" customHeight="1">
      <c r="A212" s="9"/>
      <c r="B212" s="8" t="s">
        <v>18</v>
      </c>
      <c r="C212" s="26">
        <v>506505</v>
      </c>
      <c r="D212" s="26">
        <v>482657</v>
      </c>
      <c r="E212" s="46" t="s">
        <v>2445</v>
      </c>
      <c r="F212" s="26">
        <v>54.228560000000002</v>
      </c>
      <c r="G212" s="26">
        <v>-0.36771396000000001</v>
      </c>
      <c r="H212" s="10" t="s">
        <v>1347</v>
      </c>
      <c r="I212" s="8" t="s">
        <v>1344</v>
      </c>
      <c r="J212" s="9">
        <v>26</v>
      </c>
      <c r="K212" s="11"/>
      <c r="L212" s="11"/>
      <c r="M212" s="8"/>
      <c r="N212" s="8"/>
      <c r="O212" s="11"/>
      <c r="P212" s="22">
        <v>0</v>
      </c>
      <c r="Q212" s="12"/>
      <c r="R212" s="11"/>
      <c r="S212" s="8">
        <v>24</v>
      </c>
      <c r="T212" s="12"/>
      <c r="U212" s="11"/>
      <c r="V212" s="11"/>
      <c r="W212" s="11"/>
      <c r="X212" s="9"/>
      <c r="Y212" s="9"/>
      <c r="Z212" s="8" t="s">
        <v>1354</v>
      </c>
      <c r="AA212" s="9"/>
      <c r="AB212" s="9" t="s">
        <v>2347</v>
      </c>
      <c r="AC212" s="46" t="s">
        <v>2350</v>
      </c>
    </row>
    <row r="213" spans="1:29" ht="33.75" customHeight="1">
      <c r="A213" s="9"/>
      <c r="B213" s="8" t="s">
        <v>18</v>
      </c>
      <c r="C213" s="26">
        <v>502087</v>
      </c>
      <c r="D213" s="26">
        <v>480981</v>
      </c>
      <c r="E213" s="46" t="s">
        <v>2445</v>
      </c>
      <c r="F213" s="26">
        <v>54.214402</v>
      </c>
      <c r="G213" s="26">
        <v>-0.43602666000000001</v>
      </c>
      <c r="H213" s="10" t="s">
        <v>1345</v>
      </c>
      <c r="I213" s="8" t="s">
        <v>727</v>
      </c>
      <c r="J213" s="9">
        <v>26</v>
      </c>
      <c r="K213" s="11">
        <v>4</v>
      </c>
      <c r="L213" s="11"/>
      <c r="M213" s="8"/>
      <c r="N213" s="8"/>
      <c r="O213" s="11"/>
      <c r="P213" s="22">
        <v>0</v>
      </c>
      <c r="Q213" s="12"/>
      <c r="R213" s="11"/>
      <c r="S213" s="8">
        <v>22</v>
      </c>
      <c r="T213" s="12"/>
      <c r="U213" s="11"/>
      <c r="V213" s="11"/>
      <c r="W213" s="11"/>
      <c r="X213" s="9"/>
      <c r="Y213" s="9"/>
      <c r="Z213" s="8" t="s">
        <v>1354</v>
      </c>
      <c r="AA213" s="9"/>
      <c r="AB213" s="9" t="s">
        <v>2347</v>
      </c>
      <c r="AC213" s="46" t="s">
        <v>2350</v>
      </c>
    </row>
    <row r="214" spans="1:29" ht="33.75" customHeight="1">
      <c r="A214" s="9"/>
      <c r="B214" s="8" t="s">
        <v>18</v>
      </c>
      <c r="C214" s="26">
        <v>502800</v>
      </c>
      <c r="D214" s="26">
        <v>481000</v>
      </c>
      <c r="E214" s="46" t="s">
        <v>2446</v>
      </c>
      <c r="F214" s="26">
        <v>54.21443</v>
      </c>
      <c r="G214" s="26">
        <v>-0.42509109</v>
      </c>
      <c r="H214" s="10" t="s">
        <v>1349</v>
      </c>
      <c r="I214" s="8" t="s">
        <v>727</v>
      </c>
      <c r="J214" s="9">
        <v>26</v>
      </c>
      <c r="K214" s="11"/>
      <c r="L214" s="11"/>
      <c r="M214" s="8" t="s">
        <v>1351</v>
      </c>
      <c r="N214" s="8" t="s">
        <v>1350</v>
      </c>
      <c r="O214" s="11">
        <f>11250-6515</f>
        <v>4735</v>
      </c>
      <c r="P214" s="22">
        <v>6</v>
      </c>
      <c r="Q214" s="12"/>
      <c r="R214" s="11"/>
      <c r="S214" s="8">
        <v>120</v>
      </c>
      <c r="T214" s="12"/>
      <c r="U214" s="11" t="s">
        <v>1352</v>
      </c>
      <c r="V214" s="11"/>
      <c r="W214" s="11"/>
      <c r="X214" s="9"/>
      <c r="Y214" s="9"/>
      <c r="Z214" s="8" t="s">
        <v>1353</v>
      </c>
      <c r="AA214" s="9"/>
      <c r="AB214" s="9" t="s">
        <v>2347</v>
      </c>
      <c r="AC214" s="46" t="s">
        <v>2350</v>
      </c>
    </row>
    <row r="215" spans="1:29" ht="33.75" customHeight="1">
      <c r="A215" s="11">
        <v>11</v>
      </c>
      <c r="B215" s="8" t="s">
        <v>737</v>
      </c>
      <c r="C215" s="9">
        <v>427950</v>
      </c>
      <c r="D215" s="9">
        <v>484600</v>
      </c>
      <c r="E215" s="46" t="s">
        <v>2447</v>
      </c>
      <c r="F215" s="11">
        <v>54.251849</v>
      </c>
      <c r="G215" s="28">
        <v>-1.5801973</v>
      </c>
      <c r="H215" s="10" t="s">
        <v>275</v>
      </c>
      <c r="I215" s="8" t="s">
        <v>931</v>
      </c>
      <c r="J215" s="9">
        <v>35</v>
      </c>
      <c r="K215" s="11" t="s">
        <v>71</v>
      </c>
      <c r="L215" s="11" t="s">
        <v>2</v>
      </c>
      <c r="M215" s="8" t="s">
        <v>933</v>
      </c>
      <c r="N215" s="8" t="s">
        <v>934</v>
      </c>
      <c r="O215" s="11">
        <f>12330-9580</f>
        <v>2750</v>
      </c>
      <c r="P215" s="22">
        <v>4</v>
      </c>
      <c r="Q215" s="12">
        <f>P215/O215*1000</f>
        <v>1.4545454545454544</v>
      </c>
      <c r="R215" s="11" t="s">
        <v>40</v>
      </c>
      <c r="S215" s="8">
        <v>40</v>
      </c>
      <c r="T215" s="12">
        <f>S215/(O215/1000)</f>
        <v>14.545454545454545</v>
      </c>
      <c r="U215" s="11" t="s">
        <v>857</v>
      </c>
      <c r="V215" s="11" t="s">
        <v>594</v>
      </c>
      <c r="W215" s="11" t="s">
        <v>16</v>
      </c>
      <c r="X215" s="9" t="s">
        <v>41</v>
      </c>
      <c r="Y215" s="9" t="s">
        <v>42</v>
      </c>
      <c r="Z215" s="8" t="s">
        <v>614</v>
      </c>
      <c r="AA215" s="9"/>
      <c r="AB215" s="9" t="s">
        <v>2347</v>
      </c>
      <c r="AC215" s="46" t="s">
        <v>2350</v>
      </c>
    </row>
    <row r="216" spans="1:29" ht="33.75" customHeight="1">
      <c r="A216" s="11">
        <v>11</v>
      </c>
      <c r="B216" s="8" t="s">
        <v>737</v>
      </c>
      <c r="C216" s="9">
        <v>428950</v>
      </c>
      <c r="D216" s="9">
        <v>481300</v>
      </c>
      <c r="E216" s="46" t="s">
        <v>2447</v>
      </c>
      <c r="F216" s="11">
        <v>54.222136999999996</v>
      </c>
      <c r="G216" s="28">
        <v>-1.5651614</v>
      </c>
      <c r="H216" s="10" t="s">
        <v>276</v>
      </c>
      <c r="I216" s="8" t="s">
        <v>932</v>
      </c>
      <c r="J216" s="9">
        <v>40</v>
      </c>
      <c r="K216" s="11" t="s">
        <v>72</v>
      </c>
      <c r="L216" s="11" t="s">
        <v>2</v>
      </c>
      <c r="M216" s="8" t="s">
        <v>936</v>
      </c>
      <c r="N216" s="8" t="s">
        <v>935</v>
      </c>
      <c r="O216" s="11">
        <v>930</v>
      </c>
      <c r="P216" s="22">
        <v>3</v>
      </c>
      <c r="Q216" s="12">
        <f>P216/O216*1000</f>
        <v>3.225806451612903</v>
      </c>
      <c r="R216" s="11" t="s">
        <v>40</v>
      </c>
      <c r="S216" s="8">
        <v>20</v>
      </c>
      <c r="T216" s="12">
        <f>S216/(O216/1000)</f>
        <v>21.50537634408602</v>
      </c>
      <c r="U216" s="11" t="s">
        <v>857</v>
      </c>
      <c r="V216" s="11" t="s">
        <v>594</v>
      </c>
      <c r="W216" s="11" t="s">
        <v>16</v>
      </c>
      <c r="X216" s="9" t="s">
        <v>41</v>
      </c>
      <c r="Y216" s="9" t="s">
        <v>42</v>
      </c>
      <c r="Z216" s="8" t="s">
        <v>614</v>
      </c>
      <c r="AA216" s="9"/>
      <c r="AB216" s="9" t="s">
        <v>2347</v>
      </c>
      <c r="AC216" s="46" t="s">
        <v>2350</v>
      </c>
    </row>
    <row r="217" spans="1:29" ht="33.75" customHeight="1">
      <c r="A217" s="11"/>
      <c r="B217" s="8" t="s">
        <v>737</v>
      </c>
      <c r="C217" s="9">
        <v>437736</v>
      </c>
      <c r="D217" s="9">
        <v>473790</v>
      </c>
      <c r="E217" s="46" t="s">
        <v>2448</v>
      </c>
      <c r="F217" s="9">
        <v>54.158538999999998</v>
      </c>
      <c r="G217" s="9">
        <v>-1.4236306999999999</v>
      </c>
      <c r="H217" s="9" t="s">
        <v>738</v>
      </c>
      <c r="I217" s="8" t="s">
        <v>736</v>
      </c>
      <c r="J217" s="9">
        <v>26</v>
      </c>
      <c r="K217" s="11"/>
      <c r="L217" s="11" t="s">
        <v>2</v>
      </c>
      <c r="M217" s="8"/>
      <c r="N217" s="8"/>
      <c r="O217" s="11"/>
      <c r="P217" s="22">
        <v>0</v>
      </c>
      <c r="Q217" s="12"/>
      <c r="R217" s="11"/>
      <c r="S217" s="8">
        <v>24</v>
      </c>
      <c r="T217" s="12"/>
      <c r="U217" s="11">
        <v>500</v>
      </c>
      <c r="V217" s="11" t="s">
        <v>593</v>
      </c>
      <c r="W217" s="11"/>
      <c r="X217" s="9"/>
      <c r="Y217" s="9"/>
      <c r="Z217" s="8" t="s">
        <v>739</v>
      </c>
      <c r="AA217" s="9"/>
      <c r="AB217" s="9" t="s">
        <v>2347</v>
      </c>
      <c r="AC217" s="46" t="s">
        <v>2350</v>
      </c>
    </row>
    <row r="218" spans="1:29" ht="33.75" customHeight="1">
      <c r="A218" s="11"/>
      <c r="B218" s="8" t="s">
        <v>1584</v>
      </c>
      <c r="C218" s="26">
        <v>502354</v>
      </c>
      <c r="D218" s="26">
        <v>295724</v>
      </c>
      <c r="E218" s="50" t="s">
        <v>2449</v>
      </c>
      <c r="F218" s="26">
        <v>52.549750000000003</v>
      </c>
      <c r="G218" s="26">
        <v>-0.49192755999999999</v>
      </c>
      <c r="H218" s="9" t="s">
        <v>1626</v>
      </c>
      <c r="I218" s="8" t="s">
        <v>1583</v>
      </c>
      <c r="J218" s="11">
        <v>30</v>
      </c>
      <c r="K218" s="11" t="s">
        <v>132</v>
      </c>
      <c r="L218" s="11"/>
      <c r="M218" s="8"/>
      <c r="N218" s="8"/>
      <c r="O218" s="11"/>
      <c r="P218" s="22">
        <v>0</v>
      </c>
      <c r="Q218" s="12"/>
      <c r="R218" s="11"/>
      <c r="S218" s="8">
        <v>11</v>
      </c>
      <c r="T218" s="12"/>
      <c r="U218" s="11" t="s">
        <v>1585</v>
      </c>
      <c r="V218" s="11" t="s">
        <v>593</v>
      </c>
      <c r="W218" s="11"/>
      <c r="X218" s="11"/>
      <c r="Y218" s="11"/>
      <c r="Z218" s="8" t="s">
        <v>1586</v>
      </c>
      <c r="AA218" s="11"/>
      <c r="AB218" s="9" t="s">
        <v>2347</v>
      </c>
      <c r="AC218" s="46" t="s">
        <v>2350</v>
      </c>
    </row>
    <row r="219" spans="1:29" ht="33.75" customHeight="1">
      <c r="A219" s="11">
        <v>88</v>
      </c>
      <c r="B219" s="8" t="s">
        <v>510</v>
      </c>
      <c r="C219" s="9">
        <v>480500</v>
      </c>
      <c r="D219" s="9">
        <v>387500</v>
      </c>
      <c r="E219" s="46" t="s">
        <v>2450</v>
      </c>
      <c r="F219" s="9">
        <v>53.378230000000002</v>
      </c>
      <c r="G219" s="9">
        <v>-0.79135580999999999</v>
      </c>
      <c r="H219" s="11" t="s">
        <v>649</v>
      </c>
      <c r="I219" s="8" t="s">
        <v>423</v>
      </c>
      <c r="J219" s="9">
        <v>5</v>
      </c>
      <c r="K219" s="11"/>
      <c r="L219" s="11" t="s">
        <v>643</v>
      </c>
      <c r="M219" s="8">
        <v>8240</v>
      </c>
      <c r="N219" s="8">
        <v>2690</v>
      </c>
      <c r="O219" s="11">
        <f>M219-N219</f>
        <v>5550</v>
      </c>
      <c r="P219" s="22">
        <v>5</v>
      </c>
      <c r="Q219" s="12">
        <f>P219/O219*1000</f>
        <v>0.90090090090090091</v>
      </c>
      <c r="R219" s="11" t="s">
        <v>40</v>
      </c>
      <c r="S219" s="8">
        <v>57</v>
      </c>
      <c r="T219" s="12">
        <f>S219/(O219/1000)</f>
        <v>10.27027027027027</v>
      </c>
      <c r="U219" s="11" t="s">
        <v>644</v>
      </c>
      <c r="V219" s="11" t="s">
        <v>594</v>
      </c>
      <c r="W219" s="11" t="s">
        <v>646</v>
      </c>
      <c r="X219" s="9"/>
      <c r="Y219" s="9"/>
      <c r="Z219" s="37" t="s">
        <v>511</v>
      </c>
      <c r="AA219" s="9"/>
      <c r="AB219" s="9" t="s">
        <v>2347</v>
      </c>
      <c r="AC219" s="46" t="s">
        <v>2350</v>
      </c>
    </row>
    <row r="220" spans="1:29" ht="33.75" customHeight="1">
      <c r="A220" s="11">
        <v>24</v>
      </c>
      <c r="B220" s="8" t="s">
        <v>722</v>
      </c>
      <c r="C220" s="26">
        <v>451340</v>
      </c>
      <c r="D220" s="26">
        <v>177500</v>
      </c>
      <c r="E220" s="46" t="s">
        <v>2451</v>
      </c>
      <c r="F220" s="26">
        <v>51.494120000000002</v>
      </c>
      <c r="G220" s="26">
        <v>-1.2618704999999999</v>
      </c>
      <c r="H220" s="10" t="s">
        <v>290</v>
      </c>
      <c r="I220" s="8" t="s">
        <v>323</v>
      </c>
      <c r="J220" s="9">
        <v>120</v>
      </c>
      <c r="K220" s="11" t="s">
        <v>43</v>
      </c>
      <c r="L220" s="16" t="s">
        <v>28</v>
      </c>
      <c r="M220" s="8"/>
      <c r="N220" s="8"/>
      <c r="O220" s="11"/>
      <c r="P220" s="22">
        <v>0</v>
      </c>
      <c r="Q220" s="12"/>
      <c r="R220" s="11" t="s">
        <v>94</v>
      </c>
      <c r="S220" s="8">
        <v>100</v>
      </c>
      <c r="T220" s="12"/>
      <c r="U220" s="11"/>
      <c r="V220" s="11"/>
      <c r="W220" s="11" t="s">
        <v>30</v>
      </c>
      <c r="X220" s="9" t="s">
        <v>41</v>
      </c>
      <c r="Y220" s="9" t="s">
        <v>42</v>
      </c>
      <c r="Z220" s="8" t="s">
        <v>157</v>
      </c>
      <c r="AA220" s="9" t="s">
        <v>1488</v>
      </c>
      <c r="AB220" s="46" t="s">
        <v>2353</v>
      </c>
      <c r="AC220" s="46" t="s">
        <v>2350</v>
      </c>
    </row>
    <row r="221" spans="1:29" ht="33.75" customHeight="1">
      <c r="A221" s="11"/>
      <c r="B221" s="8" t="s">
        <v>722</v>
      </c>
      <c r="C221" s="9">
        <v>446439</v>
      </c>
      <c r="D221" s="9">
        <v>199800</v>
      </c>
      <c r="E221" s="46" t="s">
        <v>2452</v>
      </c>
      <c r="F221" s="9">
        <v>51.695039000000001</v>
      </c>
      <c r="G221" s="9">
        <v>-1.3295174000000001</v>
      </c>
      <c r="H221" s="9" t="s">
        <v>701</v>
      </c>
      <c r="I221" s="8" t="s">
        <v>699</v>
      </c>
      <c r="J221" s="9">
        <v>60</v>
      </c>
      <c r="K221" s="11"/>
      <c r="L221" s="11" t="s">
        <v>2</v>
      </c>
      <c r="M221" s="8"/>
      <c r="N221" s="8"/>
      <c r="O221" s="11"/>
      <c r="P221" s="22">
        <v>0</v>
      </c>
      <c r="Q221" s="12"/>
      <c r="R221" s="11" t="s">
        <v>40</v>
      </c>
      <c r="S221" s="8">
        <v>33</v>
      </c>
      <c r="T221" s="12"/>
      <c r="U221" s="11" t="s">
        <v>700</v>
      </c>
      <c r="V221" s="11" t="s">
        <v>593</v>
      </c>
      <c r="W221" s="11" t="s">
        <v>703</v>
      </c>
      <c r="X221" s="9"/>
      <c r="Y221" s="9"/>
      <c r="Z221" s="8" t="s">
        <v>702</v>
      </c>
      <c r="AA221" s="9"/>
      <c r="AB221" s="9" t="s">
        <v>2347</v>
      </c>
      <c r="AC221" s="46" t="s">
        <v>2350</v>
      </c>
    </row>
    <row r="222" spans="1:29" ht="33.75" customHeight="1">
      <c r="A222" s="9"/>
      <c r="B222" s="8" t="s">
        <v>722</v>
      </c>
      <c r="C222" s="9">
        <v>446100</v>
      </c>
      <c r="D222" s="9">
        <v>199800</v>
      </c>
      <c r="E222" s="46" t="s">
        <v>2453</v>
      </c>
      <c r="F222" s="9">
        <v>51.695064000000002</v>
      </c>
      <c r="G222" s="9">
        <v>-1.3344209</v>
      </c>
      <c r="H222" s="9" t="s">
        <v>723</v>
      </c>
      <c r="I222" s="8" t="s">
        <v>720</v>
      </c>
      <c r="J222" s="9">
        <v>60</v>
      </c>
      <c r="K222" s="11"/>
      <c r="L222" s="11" t="s">
        <v>725</v>
      </c>
      <c r="M222" s="8" t="s">
        <v>766</v>
      </c>
      <c r="N222" s="8" t="s">
        <v>767</v>
      </c>
      <c r="O222" s="11">
        <v>2280</v>
      </c>
      <c r="P222" s="22">
        <v>4</v>
      </c>
      <c r="Q222" s="12">
        <f>P222/O222*1000</f>
        <v>1.7543859649122808</v>
      </c>
      <c r="R222" s="11"/>
      <c r="S222" s="8">
        <v>33</v>
      </c>
      <c r="T222" s="12">
        <f>S222/(O222/1000)</f>
        <v>14.473684210526317</v>
      </c>
      <c r="U222" s="11">
        <v>300</v>
      </c>
      <c r="V222" s="11" t="s">
        <v>594</v>
      </c>
      <c r="W222" s="11"/>
      <c r="X222" s="9"/>
      <c r="Y222" s="9"/>
      <c r="Z222" s="8" t="s">
        <v>726</v>
      </c>
      <c r="AA222" s="9"/>
      <c r="AB222" s="9" t="s">
        <v>2347</v>
      </c>
      <c r="AC222" s="46" t="s">
        <v>2350</v>
      </c>
    </row>
    <row r="223" spans="1:29" ht="33.75" customHeight="1">
      <c r="A223" s="9"/>
      <c r="B223" s="8" t="s">
        <v>722</v>
      </c>
      <c r="C223" s="9">
        <v>455600</v>
      </c>
      <c r="D223" s="9">
        <v>209600</v>
      </c>
      <c r="E223" s="46" t="s">
        <v>2453</v>
      </c>
      <c r="F223" s="9">
        <v>51.782308999999998</v>
      </c>
      <c r="G223" s="9">
        <v>-1.1954247</v>
      </c>
      <c r="H223" s="9" t="s">
        <v>724</v>
      </c>
      <c r="I223" s="8" t="s">
        <v>721</v>
      </c>
      <c r="J223" s="9">
        <v>100</v>
      </c>
      <c r="K223" s="11"/>
      <c r="L223" s="11" t="s">
        <v>725</v>
      </c>
      <c r="M223" s="8" t="s">
        <v>768</v>
      </c>
      <c r="N223" s="8" t="s">
        <v>769</v>
      </c>
      <c r="O223" s="11">
        <v>2965</v>
      </c>
      <c r="P223" s="22">
        <v>5</v>
      </c>
      <c r="Q223" s="12">
        <f>P223/O223*1000</f>
        <v>1.6863406408094435</v>
      </c>
      <c r="R223" s="11"/>
      <c r="S223" s="8">
        <v>30</v>
      </c>
      <c r="T223" s="12">
        <f>S223/(O223/1000)</f>
        <v>10.118043844856661</v>
      </c>
      <c r="U223" s="11">
        <v>300</v>
      </c>
      <c r="V223" s="11" t="s">
        <v>594</v>
      </c>
      <c r="W223" s="11"/>
      <c r="X223" s="9"/>
      <c r="Y223" s="9"/>
      <c r="Z223" s="8" t="s">
        <v>726</v>
      </c>
      <c r="AA223" s="9"/>
      <c r="AB223" s="9" t="s">
        <v>2347</v>
      </c>
      <c r="AC223" s="46" t="s">
        <v>2350</v>
      </c>
    </row>
    <row r="224" spans="1:29" ht="33.75" customHeight="1">
      <c r="A224" s="9">
        <v>63</v>
      </c>
      <c r="B224" s="8" t="s">
        <v>393</v>
      </c>
      <c r="C224" s="9">
        <v>343500</v>
      </c>
      <c r="D224" s="9">
        <v>330500</v>
      </c>
      <c r="E224" s="46" t="s">
        <v>2454</v>
      </c>
      <c r="F224" s="9">
        <v>52.891413999999997</v>
      </c>
      <c r="G224" s="9">
        <v>-2.8486511000000001</v>
      </c>
      <c r="H224" s="10" t="s">
        <v>1506</v>
      </c>
      <c r="I224" s="8" t="s">
        <v>244</v>
      </c>
      <c r="J224" s="9">
        <v>100</v>
      </c>
      <c r="K224" s="11" t="s">
        <v>43</v>
      </c>
      <c r="L224" s="11" t="s">
        <v>2</v>
      </c>
      <c r="M224" s="8">
        <v>10310</v>
      </c>
      <c r="N224" s="8">
        <v>1055</v>
      </c>
      <c r="O224" s="11">
        <f>M224-N224</f>
        <v>9255</v>
      </c>
      <c r="P224" s="22">
        <v>11</v>
      </c>
      <c r="Q224" s="12">
        <f>P224/O224*1000</f>
        <v>1.1885467314964884</v>
      </c>
      <c r="R224" s="11" t="s">
        <v>68</v>
      </c>
      <c r="S224" s="8">
        <v>65</v>
      </c>
      <c r="T224" s="12">
        <f>S224/(O224/1000)</f>
        <v>7.0232306861156122</v>
      </c>
      <c r="U224" s="11"/>
      <c r="V224" s="11"/>
      <c r="W224" s="11" t="s">
        <v>245</v>
      </c>
      <c r="X224" s="9" t="s">
        <v>239</v>
      </c>
      <c r="Y224" s="9" t="s">
        <v>43</v>
      </c>
      <c r="Z224" s="8" t="s">
        <v>246</v>
      </c>
      <c r="AA224" s="9"/>
      <c r="AB224" s="9" t="s">
        <v>2347</v>
      </c>
      <c r="AC224" s="46" t="s">
        <v>2350</v>
      </c>
    </row>
    <row r="225" spans="1:29" ht="33.75" customHeight="1">
      <c r="A225" s="9">
        <v>83</v>
      </c>
      <c r="B225" s="8" t="s">
        <v>393</v>
      </c>
      <c r="C225" s="26">
        <v>344532</v>
      </c>
      <c r="D225" s="26">
        <v>322880</v>
      </c>
      <c r="E225" s="46" t="s">
        <v>2455</v>
      </c>
      <c r="F225" s="26">
        <v>52.800612000000001</v>
      </c>
      <c r="G225" s="26">
        <v>-2.8241581999999998</v>
      </c>
      <c r="H225" s="10" t="s">
        <v>1507</v>
      </c>
      <c r="I225" s="8" t="s">
        <v>392</v>
      </c>
      <c r="J225" s="9">
        <v>75</v>
      </c>
      <c r="K225" s="11"/>
      <c r="L225" s="11" t="s">
        <v>2</v>
      </c>
      <c r="M225" s="8">
        <v>3190</v>
      </c>
      <c r="N225" s="8">
        <v>1890</v>
      </c>
      <c r="O225" s="11">
        <f>M225-N225</f>
        <v>1300</v>
      </c>
      <c r="P225" s="22">
        <v>4</v>
      </c>
      <c r="Q225" s="12">
        <f>P225/O225*1000</f>
        <v>3.0769230769230771</v>
      </c>
      <c r="R225" s="11" t="s">
        <v>68</v>
      </c>
      <c r="S225" s="8">
        <v>50</v>
      </c>
      <c r="T225" s="12">
        <f>S225/(O225/1000)</f>
        <v>38.46153846153846</v>
      </c>
      <c r="U225" s="11"/>
      <c r="V225" s="11"/>
      <c r="W225" s="11" t="s">
        <v>396</v>
      </c>
      <c r="X225" s="9" t="s">
        <v>395</v>
      </c>
      <c r="Y225" s="9" t="s">
        <v>100</v>
      </c>
      <c r="Z225" s="8" t="s">
        <v>394</v>
      </c>
      <c r="AA225" s="9"/>
      <c r="AB225" s="9" t="s">
        <v>2347</v>
      </c>
      <c r="AC225" s="46" t="s">
        <v>2350</v>
      </c>
    </row>
    <row r="226" spans="1:29" ht="33.75" customHeight="1">
      <c r="A226" s="9"/>
      <c r="B226" s="8" t="s">
        <v>393</v>
      </c>
      <c r="C226" s="9">
        <v>343283</v>
      </c>
      <c r="D226" s="9">
        <v>330944</v>
      </c>
      <c r="E226" s="46" t="s">
        <v>2456</v>
      </c>
      <c r="F226" s="9">
        <v>52.872964000000003</v>
      </c>
      <c r="G226" s="9">
        <v>-2.8440856999999999</v>
      </c>
      <c r="H226" s="9" t="s">
        <v>752</v>
      </c>
      <c r="I226" s="8" t="s">
        <v>748</v>
      </c>
      <c r="J226" s="9">
        <v>86</v>
      </c>
      <c r="K226" s="11"/>
      <c r="L226" s="11" t="s">
        <v>2</v>
      </c>
      <c r="M226" s="8"/>
      <c r="N226" s="8"/>
      <c r="O226" s="11"/>
      <c r="P226" s="22">
        <v>0</v>
      </c>
      <c r="Q226" s="12"/>
      <c r="R226" s="11"/>
      <c r="S226" s="8">
        <v>47</v>
      </c>
      <c r="T226" s="12"/>
      <c r="U226" s="11" t="s">
        <v>700</v>
      </c>
      <c r="V226" s="11" t="s">
        <v>594</v>
      </c>
      <c r="W226" s="11"/>
      <c r="X226" s="9"/>
      <c r="Y226" s="9"/>
      <c r="Z226" s="8" t="s">
        <v>754</v>
      </c>
      <c r="AA226" s="9"/>
      <c r="AB226" s="9" t="s">
        <v>2347</v>
      </c>
      <c r="AC226" s="46" t="s">
        <v>2350</v>
      </c>
    </row>
    <row r="227" spans="1:29" ht="33.75" customHeight="1">
      <c r="A227" s="9"/>
      <c r="B227" s="8" t="s">
        <v>393</v>
      </c>
      <c r="C227" s="9">
        <v>351609</v>
      </c>
      <c r="D227" s="9">
        <v>334499</v>
      </c>
      <c r="E227" s="46" t="s">
        <v>2456</v>
      </c>
      <c r="F227" s="9">
        <v>52.905731000000003</v>
      </c>
      <c r="G227" s="9">
        <v>-2.7209300999999999</v>
      </c>
      <c r="H227" s="9" t="s">
        <v>751</v>
      </c>
      <c r="I227" s="8" t="s">
        <v>749</v>
      </c>
      <c r="J227" s="9">
        <v>90</v>
      </c>
      <c r="K227" s="11"/>
      <c r="L227" s="11" t="s">
        <v>2</v>
      </c>
      <c r="M227" s="8"/>
      <c r="N227" s="8"/>
      <c r="O227" s="11"/>
      <c r="P227" s="22">
        <v>0</v>
      </c>
      <c r="Q227" s="12"/>
      <c r="R227" s="11"/>
      <c r="S227" s="8">
        <v>35</v>
      </c>
      <c r="T227" s="12"/>
      <c r="U227" s="11" t="s">
        <v>700</v>
      </c>
      <c r="V227" s="11" t="s">
        <v>594</v>
      </c>
      <c r="W227" s="11"/>
      <c r="X227" s="9"/>
      <c r="Y227" s="9"/>
      <c r="Z227" s="8" t="s">
        <v>754</v>
      </c>
      <c r="AA227" s="9" t="s">
        <v>1411</v>
      </c>
      <c r="AB227" s="9" t="s">
        <v>2347</v>
      </c>
      <c r="AC227" s="46" t="s">
        <v>2350</v>
      </c>
    </row>
    <row r="228" spans="1:29" ht="33.75" customHeight="1">
      <c r="A228" s="9"/>
      <c r="B228" s="8" t="s">
        <v>393</v>
      </c>
      <c r="C228" s="9">
        <v>346271</v>
      </c>
      <c r="D228" s="9">
        <v>335152</v>
      </c>
      <c r="E228" s="46" t="s">
        <v>2456</v>
      </c>
      <c r="F228" s="9">
        <v>52.911098000000003</v>
      </c>
      <c r="G228" s="9">
        <v>-2.8003999999999998</v>
      </c>
      <c r="H228" s="9" t="s">
        <v>753</v>
      </c>
      <c r="I228" s="8" t="s">
        <v>750</v>
      </c>
      <c r="J228" s="9">
        <v>90</v>
      </c>
      <c r="K228" s="11"/>
      <c r="L228" s="11" t="s">
        <v>2</v>
      </c>
      <c r="M228" s="8"/>
      <c r="N228" s="8"/>
      <c r="O228" s="11"/>
      <c r="P228" s="22">
        <v>0</v>
      </c>
      <c r="Q228" s="12"/>
      <c r="R228" s="11"/>
      <c r="S228" s="8">
        <v>64</v>
      </c>
      <c r="T228" s="12"/>
      <c r="U228" s="11" t="s">
        <v>700</v>
      </c>
      <c r="V228" s="11" t="s">
        <v>594</v>
      </c>
      <c r="W228" s="11"/>
      <c r="X228" s="9"/>
      <c r="Y228" s="9"/>
      <c r="Z228" s="8" t="s">
        <v>754</v>
      </c>
      <c r="AA228" s="9"/>
      <c r="AB228" s="9" t="s">
        <v>2347</v>
      </c>
      <c r="AC228" s="46" t="s">
        <v>2350</v>
      </c>
    </row>
    <row r="229" spans="1:29" ht="33.75" customHeight="1">
      <c r="A229" s="11"/>
      <c r="B229" s="8" t="s">
        <v>393</v>
      </c>
      <c r="C229" s="26">
        <v>349200</v>
      </c>
      <c r="D229" s="26">
        <v>336800</v>
      </c>
      <c r="E229" s="46" t="s">
        <v>2457</v>
      </c>
      <c r="F229" s="26">
        <v>52.926192999999998</v>
      </c>
      <c r="G229" s="26">
        <v>-2.7571036000000002</v>
      </c>
      <c r="H229" s="10" t="s">
        <v>1415</v>
      </c>
      <c r="I229" s="8" t="s">
        <v>749</v>
      </c>
      <c r="J229" s="9">
        <v>90</v>
      </c>
      <c r="K229" s="11"/>
      <c r="L229" s="11"/>
      <c r="M229" s="8" t="s">
        <v>1416</v>
      </c>
      <c r="N229" s="8"/>
      <c r="O229" s="11"/>
      <c r="P229" s="22">
        <v>1</v>
      </c>
      <c r="Q229" s="12"/>
      <c r="R229" s="11"/>
      <c r="S229" s="8">
        <v>34</v>
      </c>
      <c r="T229" s="12"/>
      <c r="U229" s="11" t="s">
        <v>904</v>
      </c>
      <c r="V229" s="11"/>
      <c r="W229" s="11"/>
      <c r="X229" s="9"/>
      <c r="Y229" s="9"/>
      <c r="Z229" s="8" t="s">
        <v>1427</v>
      </c>
      <c r="AA229" s="9" t="s">
        <v>1422</v>
      </c>
      <c r="AB229" s="9" t="s">
        <v>2347</v>
      </c>
      <c r="AC229" s="46" t="s">
        <v>2350</v>
      </c>
    </row>
    <row r="230" spans="1:29" ht="33.75" customHeight="1">
      <c r="A230" s="11">
        <v>10</v>
      </c>
      <c r="B230" s="8" t="s">
        <v>108</v>
      </c>
      <c r="C230" s="9">
        <v>344708</v>
      </c>
      <c r="D230" s="9">
        <v>173421</v>
      </c>
      <c r="E230" s="46" t="s">
        <v>2458</v>
      </c>
      <c r="F230" s="11">
        <v>51.452508999999999</v>
      </c>
      <c r="G230" s="28">
        <v>-2.8043170000000002</v>
      </c>
      <c r="H230" s="11" t="s">
        <v>322</v>
      </c>
      <c r="I230" s="8" t="s">
        <v>70</v>
      </c>
      <c r="J230" s="9">
        <v>5.16</v>
      </c>
      <c r="K230" s="11" t="s">
        <v>69</v>
      </c>
      <c r="L230" s="11" t="s">
        <v>2</v>
      </c>
      <c r="M230" s="8" t="s">
        <v>929</v>
      </c>
      <c r="N230" s="8" t="s">
        <v>930</v>
      </c>
      <c r="O230" s="11">
        <f>14440-6460</f>
        <v>7980</v>
      </c>
      <c r="P230" s="22">
        <v>4</v>
      </c>
      <c r="Q230" s="12">
        <f>P230/O230*1000</f>
        <v>0.50125313283208017</v>
      </c>
      <c r="R230" s="11" t="s">
        <v>51</v>
      </c>
      <c r="S230" s="8">
        <v>25</v>
      </c>
      <c r="T230" s="12">
        <f>S230/(O230/1000)</f>
        <v>3.132832080200501</v>
      </c>
      <c r="U230" s="11" t="s">
        <v>928</v>
      </c>
      <c r="V230" s="11" t="s">
        <v>594</v>
      </c>
      <c r="W230" s="11" t="s">
        <v>15</v>
      </c>
      <c r="X230" s="9" t="s">
        <v>41</v>
      </c>
      <c r="Y230" s="9" t="s">
        <v>42</v>
      </c>
      <c r="Z230" s="8" t="s">
        <v>613</v>
      </c>
      <c r="AA230" s="9"/>
      <c r="AB230" s="9" t="s">
        <v>2347</v>
      </c>
      <c r="AC230" s="46" t="s">
        <v>2350</v>
      </c>
    </row>
    <row r="231" spans="1:29" ht="33.75" customHeight="1">
      <c r="A231" s="11">
        <v>86</v>
      </c>
      <c r="B231" s="8" t="s">
        <v>108</v>
      </c>
      <c r="C231" s="26">
        <v>342100</v>
      </c>
      <c r="D231" s="9">
        <v>142700</v>
      </c>
      <c r="E231" s="9" t="s">
        <v>640</v>
      </c>
      <c r="F231" s="9">
        <v>51.180585999999998</v>
      </c>
      <c r="G231" s="9">
        <v>-2.8297259000000001</v>
      </c>
      <c r="H231" s="20" t="s">
        <v>519</v>
      </c>
      <c r="I231" s="8" t="s">
        <v>411</v>
      </c>
      <c r="J231" s="9">
        <v>10</v>
      </c>
      <c r="K231" s="11" t="s">
        <v>412</v>
      </c>
      <c r="L231" s="11" t="s">
        <v>2</v>
      </c>
      <c r="M231" s="8">
        <v>4803</v>
      </c>
      <c r="N231" s="8">
        <v>1954</v>
      </c>
      <c r="O231" s="11">
        <f>M231-N231</f>
        <v>2849</v>
      </c>
      <c r="P231" s="22">
        <v>14</v>
      </c>
      <c r="Q231" s="12">
        <f>P231/O231*1000</f>
        <v>4.9140049140049138</v>
      </c>
      <c r="R231" s="11" t="s">
        <v>40</v>
      </c>
      <c r="S231" s="8">
        <v>28</v>
      </c>
      <c r="T231" s="12">
        <f>S231/(O231/1000)</f>
        <v>9.8280098280098276</v>
      </c>
      <c r="U231" s="11"/>
      <c r="V231" s="11" t="s">
        <v>594</v>
      </c>
      <c r="W231" s="11" t="s">
        <v>638</v>
      </c>
      <c r="X231" s="9"/>
      <c r="Y231" s="9"/>
      <c r="Z231" s="8" t="s">
        <v>501</v>
      </c>
      <c r="AA231" s="9" t="s">
        <v>665</v>
      </c>
      <c r="AB231" s="9" t="s">
        <v>2347</v>
      </c>
      <c r="AC231" s="46" t="s">
        <v>2350</v>
      </c>
    </row>
    <row r="232" spans="1:29" ht="33.75" customHeight="1">
      <c r="A232" s="11">
        <v>86</v>
      </c>
      <c r="B232" s="8" t="s">
        <v>108</v>
      </c>
      <c r="C232" s="9">
        <v>344400</v>
      </c>
      <c r="D232" s="9">
        <v>140600</v>
      </c>
      <c r="E232" s="9" t="s">
        <v>640</v>
      </c>
      <c r="F232" s="9">
        <v>51.161932999999998</v>
      </c>
      <c r="G232" s="9">
        <v>-2.7964989999999998</v>
      </c>
      <c r="H232" s="11" t="s">
        <v>520</v>
      </c>
      <c r="I232" s="8" t="s">
        <v>391</v>
      </c>
      <c r="J232" s="9">
        <v>10</v>
      </c>
      <c r="K232" s="11" t="s">
        <v>413</v>
      </c>
      <c r="L232" s="11" t="s">
        <v>2</v>
      </c>
      <c r="M232" s="8">
        <v>3997</v>
      </c>
      <c r="N232" s="8">
        <v>1414</v>
      </c>
      <c r="O232" s="11">
        <f>M232-N232</f>
        <v>2583</v>
      </c>
      <c r="P232" s="22">
        <v>8</v>
      </c>
      <c r="Q232" s="12">
        <f>P232/O232*1000</f>
        <v>3.0971738288811461</v>
      </c>
      <c r="R232" s="11" t="s">
        <v>40</v>
      </c>
      <c r="S232" s="8">
        <v>36</v>
      </c>
      <c r="T232" s="12">
        <f>S232/(O232/1000)</f>
        <v>13.937282229965156</v>
      </c>
      <c r="U232" s="11"/>
      <c r="V232" s="11" t="s">
        <v>594</v>
      </c>
      <c r="W232" s="11" t="s">
        <v>638</v>
      </c>
      <c r="X232" s="9"/>
      <c r="Y232" s="9"/>
      <c r="Z232" s="8" t="s">
        <v>501</v>
      </c>
      <c r="AA232" s="9" t="s">
        <v>665</v>
      </c>
      <c r="AB232" s="9" t="s">
        <v>2347</v>
      </c>
      <c r="AC232" s="46" t="s">
        <v>2350</v>
      </c>
    </row>
    <row r="233" spans="1:29" ht="33.75" customHeight="1">
      <c r="A233" s="11"/>
      <c r="B233" s="8" t="s">
        <v>108</v>
      </c>
      <c r="C233" s="9">
        <v>344400</v>
      </c>
      <c r="D233" s="9">
        <v>140600</v>
      </c>
      <c r="E233" s="9" t="s">
        <v>709</v>
      </c>
      <c r="F233" s="9">
        <v>51.161932999999998</v>
      </c>
      <c r="G233" s="9">
        <v>-2.7964989999999998</v>
      </c>
      <c r="H233" s="11" t="s">
        <v>520</v>
      </c>
      <c r="I233" s="8" t="s">
        <v>391</v>
      </c>
      <c r="J233" s="9">
        <v>10</v>
      </c>
      <c r="K233" s="11"/>
      <c r="L233" s="11" t="s">
        <v>2</v>
      </c>
      <c r="M233" s="8"/>
      <c r="N233" s="8"/>
      <c r="O233" s="11"/>
      <c r="P233" s="22">
        <v>0</v>
      </c>
      <c r="Q233" s="12"/>
      <c r="R233" s="11"/>
      <c r="S233" s="8">
        <v>42</v>
      </c>
      <c r="T233" s="12"/>
      <c r="U233" s="11" t="s">
        <v>706</v>
      </c>
      <c r="V233" s="11" t="s">
        <v>594</v>
      </c>
      <c r="W233" s="11" t="s">
        <v>708</v>
      </c>
      <c r="X233" s="9"/>
      <c r="Y233" s="9"/>
      <c r="Z233" s="8" t="s">
        <v>707</v>
      </c>
      <c r="AA233" s="9" t="s">
        <v>1435</v>
      </c>
      <c r="AB233" s="9" t="s">
        <v>2347</v>
      </c>
      <c r="AC233" s="46" t="s">
        <v>2350</v>
      </c>
    </row>
    <row r="234" spans="1:29" ht="33.75" customHeight="1">
      <c r="A234" s="11">
        <v>86</v>
      </c>
      <c r="B234" s="8" t="s">
        <v>108</v>
      </c>
      <c r="C234" s="9">
        <v>342300</v>
      </c>
      <c r="D234" s="9">
        <v>140400</v>
      </c>
      <c r="E234" s="9" t="s">
        <v>640</v>
      </c>
      <c r="F234" s="9">
        <v>51.159927000000003</v>
      </c>
      <c r="G234" s="9">
        <v>-2.826495</v>
      </c>
      <c r="H234" s="11" t="s">
        <v>521</v>
      </c>
      <c r="I234" s="8" t="s">
        <v>499</v>
      </c>
      <c r="J234" s="9">
        <v>10</v>
      </c>
      <c r="K234" s="11" t="s">
        <v>414</v>
      </c>
      <c r="L234" s="11" t="s">
        <v>2</v>
      </c>
      <c r="M234" s="8">
        <v>4646</v>
      </c>
      <c r="N234" s="8">
        <v>3600</v>
      </c>
      <c r="O234" s="11">
        <f>M234-N234</f>
        <v>1046</v>
      </c>
      <c r="P234" s="22">
        <v>6</v>
      </c>
      <c r="Q234" s="12">
        <f>P234/O234*1000</f>
        <v>5.7361376673040159</v>
      </c>
      <c r="R234" s="11" t="s">
        <v>40</v>
      </c>
      <c r="S234" s="8">
        <v>25</v>
      </c>
      <c r="T234" s="12">
        <f>S234/(O234/1000)</f>
        <v>23.900573613766728</v>
      </c>
      <c r="U234" s="11"/>
      <c r="V234" s="11" t="s">
        <v>594</v>
      </c>
      <c r="W234" s="11" t="s">
        <v>638</v>
      </c>
      <c r="X234" s="9"/>
      <c r="Y234" s="9" t="s">
        <v>500</v>
      </c>
      <c r="Z234" s="8" t="s">
        <v>501</v>
      </c>
      <c r="AA234" s="9"/>
      <c r="AB234" s="9" t="s">
        <v>2347</v>
      </c>
      <c r="AC234" s="46" t="s">
        <v>2350</v>
      </c>
    </row>
    <row r="235" spans="1:29" ht="33.75" customHeight="1">
      <c r="A235" s="11"/>
      <c r="B235" s="8" t="s">
        <v>108</v>
      </c>
      <c r="C235" s="9">
        <v>341700</v>
      </c>
      <c r="D235" s="9">
        <v>137600</v>
      </c>
      <c r="E235" s="46" t="s">
        <v>709</v>
      </c>
      <c r="F235" s="9">
        <v>51.134690999999997</v>
      </c>
      <c r="G235" s="9">
        <v>-2.8346198</v>
      </c>
      <c r="H235" s="10" t="s">
        <v>711</v>
      </c>
      <c r="I235" s="8" t="s">
        <v>704</v>
      </c>
      <c r="J235" s="9">
        <v>5</v>
      </c>
      <c r="K235" s="11"/>
      <c r="L235" s="11" t="s">
        <v>2</v>
      </c>
      <c r="M235" s="8"/>
      <c r="N235" s="8"/>
      <c r="O235" s="11"/>
      <c r="P235" s="22">
        <v>0</v>
      </c>
      <c r="Q235" s="12"/>
      <c r="R235" s="11" t="s">
        <v>40</v>
      </c>
      <c r="S235" s="8">
        <v>46</v>
      </c>
      <c r="T235" s="12"/>
      <c r="U235" s="11" t="s">
        <v>6</v>
      </c>
      <c r="V235" s="11" t="s">
        <v>594</v>
      </c>
      <c r="W235" s="11" t="s">
        <v>708</v>
      </c>
      <c r="X235" s="9"/>
      <c r="Y235" s="9"/>
      <c r="Z235" s="8" t="s">
        <v>707</v>
      </c>
      <c r="AA235" s="9" t="s">
        <v>1535</v>
      </c>
      <c r="AB235" s="9" t="s">
        <v>2347</v>
      </c>
      <c r="AC235" s="46" t="s">
        <v>2350</v>
      </c>
    </row>
    <row r="236" spans="1:29" ht="33.75" customHeight="1">
      <c r="A236" s="9"/>
      <c r="B236" s="8" t="s">
        <v>108</v>
      </c>
      <c r="C236" s="26">
        <v>344000</v>
      </c>
      <c r="D236" s="26">
        <v>140800</v>
      </c>
      <c r="E236" s="46" t="s">
        <v>2459</v>
      </c>
      <c r="F236" s="26">
        <v>51.163691999999998</v>
      </c>
      <c r="G236" s="26">
        <v>-2.8022499000000001</v>
      </c>
      <c r="H236" s="10" t="s">
        <v>1541</v>
      </c>
      <c r="I236" s="8" t="s">
        <v>1536</v>
      </c>
      <c r="J236" s="9">
        <v>5</v>
      </c>
      <c r="K236" s="11" t="s">
        <v>1537</v>
      </c>
      <c r="L236" s="11" t="s">
        <v>2</v>
      </c>
      <c r="M236" s="8"/>
      <c r="N236" s="8"/>
      <c r="O236" s="11"/>
      <c r="P236" s="22">
        <v>0</v>
      </c>
      <c r="Q236" s="12"/>
      <c r="R236" s="11"/>
      <c r="S236" s="8">
        <v>24</v>
      </c>
      <c r="T236" s="12"/>
      <c r="U236" s="11"/>
      <c r="V236" s="11"/>
      <c r="W236" s="11"/>
      <c r="X236" s="9"/>
      <c r="Y236" s="9"/>
      <c r="Z236" s="8" t="s">
        <v>1540</v>
      </c>
      <c r="AA236" s="9"/>
      <c r="AB236" s="9" t="s">
        <v>2347</v>
      </c>
      <c r="AC236" s="46" t="s">
        <v>2350</v>
      </c>
    </row>
    <row r="237" spans="1:29" ht="33.75" customHeight="1">
      <c r="A237" s="9"/>
      <c r="B237" s="8" t="s">
        <v>108</v>
      </c>
      <c r="C237" s="26">
        <v>344000</v>
      </c>
      <c r="D237" s="26">
        <v>140800</v>
      </c>
      <c r="E237" s="46" t="s">
        <v>2459</v>
      </c>
      <c r="F237" s="26">
        <v>51.163691999999998</v>
      </c>
      <c r="G237" s="26">
        <v>-2.8022499000000001</v>
      </c>
      <c r="H237" s="10" t="s">
        <v>1541</v>
      </c>
      <c r="I237" s="8" t="s">
        <v>1536</v>
      </c>
      <c r="J237" s="9">
        <v>5</v>
      </c>
      <c r="K237" s="11" t="s">
        <v>1538</v>
      </c>
      <c r="L237" s="11" t="s">
        <v>2</v>
      </c>
      <c r="M237" s="8"/>
      <c r="N237" s="8"/>
      <c r="O237" s="11"/>
      <c r="P237" s="22">
        <v>0</v>
      </c>
      <c r="Q237" s="12"/>
      <c r="R237" s="11"/>
      <c r="S237" s="8">
        <v>35</v>
      </c>
      <c r="T237" s="12"/>
      <c r="U237" s="11"/>
      <c r="V237" s="11"/>
      <c r="W237" s="11"/>
      <c r="X237" s="9"/>
      <c r="Y237" s="9"/>
      <c r="Z237" s="8" t="s">
        <v>1540</v>
      </c>
      <c r="AA237" s="9"/>
      <c r="AB237" s="9" t="s">
        <v>2347</v>
      </c>
      <c r="AC237" s="46" t="s">
        <v>2350</v>
      </c>
    </row>
    <row r="238" spans="1:29" ht="33.75" customHeight="1">
      <c r="A238" s="9"/>
      <c r="B238" s="8" t="s">
        <v>108</v>
      </c>
      <c r="C238" s="26">
        <v>344000</v>
      </c>
      <c r="D238" s="26">
        <v>140800</v>
      </c>
      <c r="E238" s="46" t="s">
        <v>2459</v>
      </c>
      <c r="F238" s="26">
        <v>51.163691999999998</v>
      </c>
      <c r="G238" s="26">
        <v>-2.8022499000000001</v>
      </c>
      <c r="H238" s="10" t="s">
        <v>1541</v>
      </c>
      <c r="I238" s="8" t="s">
        <v>1539</v>
      </c>
      <c r="J238" s="9">
        <v>5</v>
      </c>
      <c r="K238" s="11" t="s">
        <v>1247</v>
      </c>
      <c r="L238" s="11" t="s">
        <v>2</v>
      </c>
      <c r="M238" s="8"/>
      <c r="N238" s="8"/>
      <c r="O238" s="11"/>
      <c r="P238" s="22">
        <v>0</v>
      </c>
      <c r="Q238" s="12"/>
      <c r="R238" s="11"/>
      <c r="S238" s="8">
        <v>24</v>
      </c>
      <c r="T238" s="12"/>
      <c r="U238" s="11"/>
      <c r="V238" s="11"/>
      <c r="W238" s="11"/>
      <c r="X238" s="9"/>
      <c r="Y238" s="9"/>
      <c r="Z238" s="8" t="s">
        <v>1540</v>
      </c>
      <c r="AA238" s="9"/>
      <c r="AB238" s="9" t="s">
        <v>2347</v>
      </c>
      <c r="AC238" s="46" t="s">
        <v>2350</v>
      </c>
    </row>
    <row r="239" spans="1:29" ht="33.75" customHeight="1">
      <c r="A239" s="9"/>
      <c r="B239" s="8" t="s">
        <v>108</v>
      </c>
      <c r="C239" s="9">
        <v>341700</v>
      </c>
      <c r="D239" s="9">
        <v>137600</v>
      </c>
      <c r="E239" s="46" t="s">
        <v>709</v>
      </c>
      <c r="F239" s="9">
        <v>51.134690999999997</v>
      </c>
      <c r="G239" s="9">
        <v>-2.8346198</v>
      </c>
      <c r="H239" s="10" t="s">
        <v>711</v>
      </c>
      <c r="I239" s="8" t="s">
        <v>705</v>
      </c>
      <c r="J239" s="9">
        <v>40</v>
      </c>
      <c r="K239" s="11"/>
      <c r="L239" s="11" t="s">
        <v>2</v>
      </c>
      <c r="M239" s="8"/>
      <c r="N239" s="8"/>
      <c r="O239" s="11"/>
      <c r="P239" s="22">
        <v>0</v>
      </c>
      <c r="Q239" s="12"/>
      <c r="R239" s="11" t="s">
        <v>40</v>
      </c>
      <c r="S239" s="8">
        <v>80</v>
      </c>
      <c r="T239" s="12"/>
      <c r="U239" s="11" t="s">
        <v>6</v>
      </c>
      <c r="V239" s="11" t="s">
        <v>594</v>
      </c>
      <c r="W239" s="11" t="s">
        <v>708</v>
      </c>
      <c r="X239" s="9"/>
      <c r="Y239" s="9"/>
      <c r="Z239" s="8" t="s">
        <v>707</v>
      </c>
      <c r="AA239" s="9" t="s">
        <v>1542</v>
      </c>
      <c r="AB239" s="9" t="s">
        <v>2347</v>
      </c>
      <c r="AC239" s="46" t="s">
        <v>2350</v>
      </c>
    </row>
    <row r="240" spans="1:29" ht="33.75" customHeight="1">
      <c r="A240" s="9"/>
      <c r="B240" s="8" t="s">
        <v>108</v>
      </c>
      <c r="C240" s="9">
        <v>341700</v>
      </c>
      <c r="D240" s="9">
        <v>137600</v>
      </c>
      <c r="E240" s="46" t="s">
        <v>709</v>
      </c>
      <c r="F240" s="9">
        <v>51.134690999999997</v>
      </c>
      <c r="G240" s="9">
        <v>-2.8346198</v>
      </c>
      <c r="H240" s="10" t="s">
        <v>711</v>
      </c>
      <c r="I240" s="8" t="s">
        <v>710</v>
      </c>
      <c r="J240" s="9">
        <v>40</v>
      </c>
      <c r="K240" s="11"/>
      <c r="L240" s="11" t="s">
        <v>2</v>
      </c>
      <c r="M240" s="8"/>
      <c r="N240" s="8"/>
      <c r="O240" s="11"/>
      <c r="P240" s="22">
        <v>0</v>
      </c>
      <c r="Q240" s="12"/>
      <c r="R240" s="11" t="s">
        <v>40</v>
      </c>
      <c r="S240" s="8">
        <v>40</v>
      </c>
      <c r="T240" s="12"/>
      <c r="U240" s="11" t="s">
        <v>6</v>
      </c>
      <c r="V240" s="11" t="s">
        <v>594</v>
      </c>
      <c r="W240" s="11" t="s">
        <v>708</v>
      </c>
      <c r="X240" s="9"/>
      <c r="Y240" s="9"/>
      <c r="Z240" s="8" t="s">
        <v>707</v>
      </c>
      <c r="AA240" s="9"/>
      <c r="AB240" s="9" t="s">
        <v>2347</v>
      </c>
      <c r="AC240" s="46" t="s">
        <v>2350</v>
      </c>
    </row>
    <row r="241" spans="1:29" ht="33.75" customHeight="1">
      <c r="A241" s="9"/>
      <c r="B241" s="8" t="s">
        <v>108</v>
      </c>
      <c r="C241" s="26">
        <v>345500</v>
      </c>
      <c r="D241" s="26">
        <v>134200</v>
      </c>
      <c r="E241" s="46" t="s">
        <v>2460</v>
      </c>
      <c r="F241" s="26">
        <v>51.104495999999997</v>
      </c>
      <c r="G241" s="26">
        <v>-2.7797996</v>
      </c>
      <c r="H241" s="10" t="s">
        <v>1236</v>
      </c>
      <c r="I241" s="8" t="s">
        <v>1232</v>
      </c>
      <c r="J241" s="9">
        <v>5.5</v>
      </c>
      <c r="K241" s="11" t="s">
        <v>1233</v>
      </c>
      <c r="L241" s="11"/>
      <c r="M241" s="8"/>
      <c r="N241" s="8"/>
      <c r="O241" s="11"/>
      <c r="P241" s="22">
        <v>0</v>
      </c>
      <c r="Q241" s="12"/>
      <c r="R241" s="11"/>
      <c r="S241" s="8">
        <v>24</v>
      </c>
      <c r="T241" s="12"/>
      <c r="U241" s="11" t="s">
        <v>669</v>
      </c>
      <c r="V241" s="11"/>
      <c r="W241" s="11"/>
      <c r="X241" s="9"/>
      <c r="Y241" s="9"/>
      <c r="Z241" s="8" t="s">
        <v>1237</v>
      </c>
      <c r="AA241" s="9"/>
      <c r="AB241" s="9" t="s">
        <v>2347</v>
      </c>
      <c r="AC241" s="46" t="s">
        <v>2350</v>
      </c>
    </row>
    <row r="242" spans="1:29" ht="33.75" customHeight="1">
      <c r="A242" s="9"/>
      <c r="B242" s="8" t="s">
        <v>108</v>
      </c>
      <c r="C242" s="26">
        <v>345500</v>
      </c>
      <c r="D242" s="26">
        <v>134200</v>
      </c>
      <c r="E242" s="46" t="s">
        <v>2460</v>
      </c>
      <c r="F242" s="26">
        <v>51.104495999999997</v>
      </c>
      <c r="G242" s="26">
        <v>-2.7797996</v>
      </c>
      <c r="H242" s="10" t="s">
        <v>1236</v>
      </c>
      <c r="I242" s="14" t="s">
        <v>1235</v>
      </c>
      <c r="J242" s="15">
        <v>5</v>
      </c>
      <c r="K242" s="15" t="s">
        <v>1234</v>
      </c>
      <c r="L242" s="11"/>
      <c r="M242" s="8"/>
      <c r="N242" s="8"/>
      <c r="O242" s="11"/>
      <c r="P242" s="22">
        <v>0</v>
      </c>
      <c r="Q242" s="12"/>
      <c r="R242" s="11"/>
      <c r="S242" s="8">
        <v>26</v>
      </c>
      <c r="T242" s="12"/>
      <c r="U242" s="11" t="s">
        <v>669</v>
      </c>
      <c r="V242" s="11"/>
      <c r="W242" s="11"/>
      <c r="X242" s="9"/>
      <c r="Y242" s="9"/>
      <c r="Z242" s="8" t="s">
        <v>1237</v>
      </c>
      <c r="AA242" s="9"/>
      <c r="AB242" s="9" t="s">
        <v>2347</v>
      </c>
      <c r="AC242" s="46" t="s">
        <v>2350</v>
      </c>
    </row>
    <row r="243" spans="1:29" ht="33.75" customHeight="1">
      <c r="A243" s="11"/>
      <c r="B243" s="8" t="s">
        <v>108</v>
      </c>
      <c r="C243" s="26">
        <v>343300</v>
      </c>
      <c r="D243" s="26">
        <v>139800</v>
      </c>
      <c r="E243" s="50" t="s">
        <v>2457</v>
      </c>
      <c r="F243" s="26">
        <v>51.154631999999999</v>
      </c>
      <c r="G243" s="26">
        <v>-2.8121016999999999</v>
      </c>
      <c r="H243" s="10" t="s">
        <v>1419</v>
      </c>
      <c r="I243" s="8" t="s">
        <v>704</v>
      </c>
      <c r="J243" s="11">
        <v>5</v>
      </c>
      <c r="K243" s="11"/>
      <c r="L243" s="11"/>
      <c r="M243" s="8" t="s">
        <v>1423</v>
      </c>
      <c r="N243" s="8" t="s">
        <v>1424</v>
      </c>
      <c r="O243" s="11">
        <f>3975-3880</f>
        <v>95</v>
      </c>
      <c r="P243" s="22">
        <v>2</v>
      </c>
      <c r="Q243" s="12"/>
      <c r="R243" s="11"/>
      <c r="S243" s="8">
        <v>24</v>
      </c>
      <c r="T243" s="12"/>
      <c r="U243" s="11" t="s">
        <v>904</v>
      </c>
      <c r="V243" s="11"/>
      <c r="W243" s="11"/>
      <c r="X243" s="11"/>
      <c r="Y243" s="11"/>
      <c r="Z243" s="8" t="s">
        <v>1427</v>
      </c>
      <c r="AA243" s="9" t="s">
        <v>1422</v>
      </c>
      <c r="AB243" s="9" t="s">
        <v>2347</v>
      </c>
      <c r="AC243" s="46" t="s">
        <v>2350</v>
      </c>
    </row>
    <row r="244" spans="1:29" ht="33.75" customHeight="1">
      <c r="A244" s="11"/>
      <c r="B244" s="8" t="s">
        <v>108</v>
      </c>
      <c r="C244" s="26">
        <v>339200</v>
      </c>
      <c r="D244" s="26">
        <v>143000</v>
      </c>
      <c r="E244" s="50" t="s">
        <v>2461</v>
      </c>
      <c r="F244" s="26">
        <v>51.182980999999998</v>
      </c>
      <c r="G244" s="26">
        <v>-2.8712605</v>
      </c>
      <c r="H244" s="10" t="s">
        <v>1431</v>
      </c>
      <c r="I244" s="8" t="s">
        <v>1429</v>
      </c>
      <c r="J244" s="11">
        <v>5</v>
      </c>
      <c r="K244" s="11">
        <v>1</v>
      </c>
      <c r="L244" s="11"/>
      <c r="M244" s="8"/>
      <c r="N244" s="8"/>
      <c r="O244" s="11"/>
      <c r="P244" s="22">
        <v>0</v>
      </c>
      <c r="Q244" s="12"/>
      <c r="R244" s="11"/>
      <c r="S244" s="8">
        <v>22</v>
      </c>
      <c r="T244" s="12"/>
      <c r="U244" s="11"/>
      <c r="V244" s="11" t="s">
        <v>594</v>
      </c>
      <c r="W244" s="11"/>
      <c r="X244" s="11"/>
      <c r="Y244" s="11"/>
      <c r="Z244" s="8" t="s">
        <v>1432</v>
      </c>
      <c r="AA244" s="11"/>
      <c r="AB244" s="9" t="s">
        <v>2347</v>
      </c>
      <c r="AC244" s="46" t="s">
        <v>2350</v>
      </c>
    </row>
    <row r="245" spans="1:29" ht="33.75" customHeight="1">
      <c r="A245" s="11"/>
      <c r="B245" s="8" t="s">
        <v>108</v>
      </c>
      <c r="C245" s="26">
        <v>339200</v>
      </c>
      <c r="D245" s="26">
        <v>143000</v>
      </c>
      <c r="E245" s="50" t="s">
        <v>2461</v>
      </c>
      <c r="F245" s="26">
        <v>51.182980999999998</v>
      </c>
      <c r="G245" s="26">
        <v>-2.8712605</v>
      </c>
      <c r="H245" s="13" t="s">
        <v>1431</v>
      </c>
      <c r="I245" s="8" t="s">
        <v>1429</v>
      </c>
      <c r="J245" s="11">
        <v>5</v>
      </c>
      <c r="K245" s="11">
        <v>4</v>
      </c>
      <c r="L245" s="11"/>
      <c r="M245" s="8" t="s">
        <v>1430</v>
      </c>
      <c r="N245" s="8"/>
      <c r="O245" s="11"/>
      <c r="P245" s="22">
        <v>1</v>
      </c>
      <c r="Q245" s="12"/>
      <c r="R245" s="11"/>
      <c r="S245" s="8">
        <v>14</v>
      </c>
      <c r="T245" s="12"/>
      <c r="U245" s="11"/>
      <c r="V245" s="11" t="s">
        <v>594</v>
      </c>
      <c r="W245" s="11"/>
      <c r="X245" s="11"/>
      <c r="Y245" s="11"/>
      <c r="Z245" s="8" t="s">
        <v>1432</v>
      </c>
      <c r="AA245" s="11"/>
      <c r="AB245" s="9" t="s">
        <v>2347</v>
      </c>
      <c r="AC245" s="46" t="s">
        <v>2350</v>
      </c>
    </row>
    <row r="246" spans="1:29" ht="33.75" customHeight="1">
      <c r="A246" s="11"/>
      <c r="B246" s="8" t="s">
        <v>108</v>
      </c>
      <c r="C246" s="26">
        <v>339200</v>
      </c>
      <c r="D246" s="26">
        <v>143000</v>
      </c>
      <c r="E246" s="50" t="s">
        <v>2461</v>
      </c>
      <c r="F246" s="26">
        <v>51.182980999999998</v>
      </c>
      <c r="G246" s="26">
        <v>-2.8712605</v>
      </c>
      <c r="H246" s="13" t="s">
        <v>1431</v>
      </c>
      <c r="I246" s="8" t="s">
        <v>1429</v>
      </c>
      <c r="J246" s="11">
        <v>5</v>
      </c>
      <c r="K246" s="11">
        <v>5</v>
      </c>
      <c r="L246" s="11"/>
      <c r="M246" s="8"/>
      <c r="N246" s="8"/>
      <c r="O246" s="11"/>
      <c r="P246" s="22">
        <v>0</v>
      </c>
      <c r="Q246" s="12"/>
      <c r="R246" s="11"/>
      <c r="S246" s="8">
        <v>16</v>
      </c>
      <c r="T246" s="12"/>
      <c r="U246" s="11"/>
      <c r="V246" s="11" t="s">
        <v>594</v>
      </c>
      <c r="W246" s="11"/>
      <c r="X246" s="11"/>
      <c r="Y246" s="11"/>
      <c r="Z246" s="8" t="s">
        <v>1432</v>
      </c>
      <c r="AA246" s="11"/>
      <c r="AB246" s="9" t="s">
        <v>2347</v>
      </c>
      <c r="AC246" s="46" t="s">
        <v>2350</v>
      </c>
    </row>
    <row r="247" spans="1:29" ht="33.75" customHeight="1">
      <c r="A247" s="11"/>
      <c r="B247" s="8" t="s">
        <v>108</v>
      </c>
      <c r="C247" s="26">
        <v>287705</v>
      </c>
      <c r="D247" s="26">
        <v>147353</v>
      </c>
      <c r="E247" s="50" t="s">
        <v>2462</v>
      </c>
      <c r="F247" s="26">
        <v>51.214302000000004</v>
      </c>
      <c r="G247" s="26">
        <v>-3.6091345000000001</v>
      </c>
      <c r="H247" s="38" t="s">
        <v>1624</v>
      </c>
      <c r="I247" s="8" t="s">
        <v>1587</v>
      </c>
      <c r="J247" s="11">
        <v>2</v>
      </c>
      <c r="K247" s="11" t="s">
        <v>1588</v>
      </c>
      <c r="L247" s="11"/>
      <c r="M247" s="8"/>
      <c r="N247" s="8"/>
      <c r="O247" s="11"/>
      <c r="P247" s="22">
        <v>0</v>
      </c>
      <c r="Q247" s="12"/>
      <c r="R247" s="11"/>
      <c r="S247" s="8">
        <v>14</v>
      </c>
      <c r="T247" s="12"/>
      <c r="U247" s="11"/>
      <c r="V247" s="11"/>
      <c r="W247" s="11"/>
      <c r="X247" s="11"/>
      <c r="Y247" s="11"/>
      <c r="Z247" s="8" t="s">
        <v>1598</v>
      </c>
      <c r="AA247" s="11"/>
      <c r="AB247" s="9" t="s">
        <v>2347</v>
      </c>
      <c r="AC247" s="46" t="s">
        <v>2350</v>
      </c>
    </row>
    <row r="248" spans="1:29" ht="33.75" customHeight="1">
      <c r="A248" s="11"/>
      <c r="B248" s="8" t="s">
        <v>108</v>
      </c>
      <c r="C248" s="26">
        <v>287500</v>
      </c>
      <c r="D248" s="26">
        <v>147860</v>
      </c>
      <c r="E248" s="50" t="s">
        <v>2462</v>
      </c>
      <c r="F248" s="26">
        <v>51.218819000000003</v>
      </c>
      <c r="G248" s="26">
        <v>-3.6122274999999999</v>
      </c>
      <c r="H248" s="38" t="s">
        <v>1625</v>
      </c>
      <c r="I248" s="8" t="s">
        <v>1589</v>
      </c>
      <c r="J248" s="11">
        <v>1</v>
      </c>
      <c r="K248" s="11" t="s">
        <v>1590</v>
      </c>
      <c r="L248" s="11"/>
      <c r="M248" s="8" t="s">
        <v>1597</v>
      </c>
      <c r="N248" s="8"/>
      <c r="O248" s="11"/>
      <c r="P248" s="22">
        <v>1</v>
      </c>
      <c r="Q248" s="12"/>
      <c r="R248" s="11"/>
      <c r="S248" s="8">
        <v>5</v>
      </c>
      <c r="T248" s="12"/>
      <c r="U248" s="11"/>
      <c r="V248" s="11"/>
      <c r="W248" s="11"/>
      <c r="X248" s="11"/>
      <c r="Y248" s="11"/>
      <c r="Z248" s="8" t="s">
        <v>1598</v>
      </c>
      <c r="AA248" s="11"/>
      <c r="AB248" s="9" t="s">
        <v>2347</v>
      </c>
      <c r="AC248" s="46" t="s">
        <v>2350</v>
      </c>
    </row>
    <row r="249" spans="1:29" ht="33.75" customHeight="1">
      <c r="A249" s="11"/>
      <c r="B249" s="8" t="s">
        <v>108</v>
      </c>
      <c r="C249" s="26">
        <v>287500</v>
      </c>
      <c r="D249" s="26">
        <v>147860</v>
      </c>
      <c r="E249" s="50" t="s">
        <v>2462</v>
      </c>
      <c r="F249" s="26">
        <v>51.218819000000003</v>
      </c>
      <c r="G249" s="26">
        <v>-3.6122274999999999</v>
      </c>
      <c r="H249" s="38" t="s">
        <v>1625</v>
      </c>
      <c r="I249" s="8" t="s">
        <v>1589</v>
      </c>
      <c r="J249" s="11">
        <v>1</v>
      </c>
      <c r="K249" s="11" t="s">
        <v>1591</v>
      </c>
      <c r="L249" s="11"/>
      <c r="M249" s="8" t="s">
        <v>1595</v>
      </c>
      <c r="N249" s="8" t="s">
        <v>1596</v>
      </c>
      <c r="O249" s="11">
        <f>6870-5070</f>
        <v>1800</v>
      </c>
      <c r="P249" s="22">
        <v>2</v>
      </c>
      <c r="Q249" s="12"/>
      <c r="R249" s="11"/>
      <c r="S249" s="8">
        <v>8</v>
      </c>
      <c r="T249" s="12"/>
      <c r="U249" s="11"/>
      <c r="V249" s="11"/>
      <c r="W249" s="11"/>
      <c r="X249" s="11"/>
      <c r="Y249" s="11"/>
      <c r="Z249" s="8" t="s">
        <v>1598</v>
      </c>
      <c r="AA249" s="11"/>
      <c r="AB249" s="9" t="s">
        <v>2347</v>
      </c>
      <c r="AC249" s="46" t="s">
        <v>2350</v>
      </c>
    </row>
    <row r="250" spans="1:29" ht="33.75" customHeight="1">
      <c r="A250" s="11"/>
      <c r="B250" s="8" t="s">
        <v>108</v>
      </c>
      <c r="C250" s="26">
        <v>287500</v>
      </c>
      <c r="D250" s="26">
        <v>147860</v>
      </c>
      <c r="E250" s="50" t="s">
        <v>2462</v>
      </c>
      <c r="F250" s="26">
        <v>51.218819000000003</v>
      </c>
      <c r="G250" s="26">
        <v>-3.6122274999999999</v>
      </c>
      <c r="H250" s="38" t="s">
        <v>1625</v>
      </c>
      <c r="I250" s="8" t="s">
        <v>1589</v>
      </c>
      <c r="J250" s="11">
        <v>1</v>
      </c>
      <c r="K250" s="11" t="s">
        <v>1592</v>
      </c>
      <c r="L250" s="11"/>
      <c r="M250" s="8" t="s">
        <v>1593</v>
      </c>
      <c r="N250" s="8" t="s">
        <v>1594</v>
      </c>
      <c r="O250" s="11">
        <f>7730-6160</f>
        <v>1570</v>
      </c>
      <c r="P250" s="22">
        <v>3</v>
      </c>
      <c r="Q250" s="12"/>
      <c r="R250" s="11"/>
      <c r="S250" s="8">
        <v>43</v>
      </c>
      <c r="T250" s="12"/>
      <c r="U250" s="11"/>
      <c r="V250" s="11"/>
      <c r="W250" s="11"/>
      <c r="X250" s="11"/>
      <c r="Y250" s="11"/>
      <c r="Z250" s="8" t="s">
        <v>1598</v>
      </c>
      <c r="AA250" s="11"/>
      <c r="AB250" s="9" t="s">
        <v>2347</v>
      </c>
      <c r="AC250" s="46" t="s">
        <v>2350</v>
      </c>
    </row>
    <row r="251" spans="1:29" ht="33.75" customHeight="1">
      <c r="A251" s="11"/>
      <c r="B251" s="8" t="s">
        <v>108</v>
      </c>
      <c r="C251" s="26">
        <v>342400</v>
      </c>
      <c r="D251" s="26">
        <v>138200</v>
      </c>
      <c r="E251" s="50" t="s">
        <v>2463</v>
      </c>
      <c r="F251" s="26">
        <v>51.140155999999998</v>
      </c>
      <c r="G251" s="26">
        <v>-2.8247124000000001</v>
      </c>
      <c r="H251" s="10" t="s">
        <v>1449</v>
      </c>
      <c r="I251" s="8" t="s">
        <v>1433</v>
      </c>
      <c r="J251" s="11">
        <v>30</v>
      </c>
      <c r="K251" s="11" t="s">
        <v>1434</v>
      </c>
      <c r="L251" s="11"/>
      <c r="M251" s="8"/>
      <c r="N251" s="8"/>
      <c r="O251" s="11"/>
      <c r="P251" s="22">
        <v>0</v>
      </c>
      <c r="Q251" s="12"/>
      <c r="R251" s="11"/>
      <c r="S251" s="8">
        <v>80</v>
      </c>
      <c r="T251" s="12"/>
      <c r="U251" s="11" t="s">
        <v>1578</v>
      </c>
      <c r="V251" s="11" t="s">
        <v>593</v>
      </c>
      <c r="W251" s="11"/>
      <c r="X251" s="11"/>
      <c r="Y251" s="11"/>
      <c r="Z251" s="8" t="s">
        <v>1438</v>
      </c>
      <c r="AA251" s="11"/>
      <c r="AB251" s="9" t="s">
        <v>2347</v>
      </c>
      <c r="AC251" s="46" t="s">
        <v>2350</v>
      </c>
    </row>
    <row r="252" spans="1:29" ht="33.75" customHeight="1">
      <c r="A252" s="11"/>
      <c r="B252" s="8" t="s">
        <v>108</v>
      </c>
      <c r="C252" s="26">
        <v>343100</v>
      </c>
      <c r="D252" s="26">
        <v>139200</v>
      </c>
      <c r="E252" s="50" t="s">
        <v>2463</v>
      </c>
      <c r="F252" s="26">
        <v>51.149217999999998</v>
      </c>
      <c r="G252" s="26">
        <v>-2.8148661000000001</v>
      </c>
      <c r="H252" s="10" t="s">
        <v>1450</v>
      </c>
      <c r="I252" s="8" t="s">
        <v>1436</v>
      </c>
      <c r="J252" s="11">
        <v>10</v>
      </c>
      <c r="K252" s="11"/>
      <c r="L252" s="11"/>
      <c r="M252" s="8"/>
      <c r="N252" s="8"/>
      <c r="O252" s="11"/>
      <c r="P252" s="22">
        <v>0</v>
      </c>
      <c r="Q252" s="12"/>
      <c r="R252" s="11"/>
      <c r="S252" s="8">
        <v>12</v>
      </c>
      <c r="T252" s="12"/>
      <c r="U252" s="11"/>
      <c r="V252" s="11" t="s">
        <v>593</v>
      </c>
      <c r="W252" s="11"/>
      <c r="X252" s="11"/>
      <c r="Y252" s="11"/>
      <c r="Z252" s="8" t="s">
        <v>1438</v>
      </c>
      <c r="AA252" s="11"/>
      <c r="AB252" s="9" t="s">
        <v>2347</v>
      </c>
      <c r="AC252" s="46" t="s">
        <v>2350</v>
      </c>
    </row>
    <row r="253" spans="1:29" ht="33.75" customHeight="1">
      <c r="A253" s="11"/>
      <c r="B253" s="8" t="s">
        <v>108</v>
      </c>
      <c r="C253" s="26">
        <v>345600</v>
      </c>
      <c r="D253" s="26">
        <v>143700</v>
      </c>
      <c r="E253" s="50" t="s">
        <v>2463</v>
      </c>
      <c r="F253" s="26">
        <v>51.189920999999998</v>
      </c>
      <c r="G253" s="26">
        <v>-2.7798101000000002</v>
      </c>
      <c r="H253" s="39" t="s">
        <v>1451</v>
      </c>
      <c r="I253" s="8" t="s">
        <v>1437</v>
      </c>
      <c r="J253" s="11">
        <v>5</v>
      </c>
      <c r="K253" s="11"/>
      <c r="L253" s="11"/>
      <c r="M253" s="8"/>
      <c r="N253" s="8"/>
      <c r="O253" s="11"/>
      <c r="P253" s="22">
        <v>0</v>
      </c>
      <c r="Q253" s="12"/>
      <c r="R253" s="11"/>
      <c r="S253" s="8">
        <v>12</v>
      </c>
      <c r="T253" s="12"/>
      <c r="U253" s="11"/>
      <c r="V253" s="11" t="s">
        <v>593</v>
      </c>
      <c r="W253" s="11"/>
      <c r="X253" s="11"/>
      <c r="Y253" s="11"/>
      <c r="Z253" s="8" t="s">
        <v>1438</v>
      </c>
      <c r="AA253" s="11"/>
      <c r="AB253" s="9" t="s">
        <v>2347</v>
      </c>
      <c r="AC253" s="46" t="s">
        <v>2350</v>
      </c>
    </row>
    <row r="254" spans="1:29" ht="33.75" customHeight="1">
      <c r="A254" s="9"/>
      <c r="B254" s="8" t="s">
        <v>108</v>
      </c>
      <c r="C254" s="9">
        <v>348896</v>
      </c>
      <c r="D254" s="9">
        <v>139934</v>
      </c>
      <c r="E254" s="46" t="s">
        <v>2464</v>
      </c>
      <c r="F254" s="9">
        <v>51.156362000000001</v>
      </c>
      <c r="G254" s="9">
        <v>-2.7321195999999999</v>
      </c>
      <c r="H254" s="9" t="s">
        <v>790</v>
      </c>
      <c r="I254" s="8" t="s">
        <v>784</v>
      </c>
      <c r="J254" s="9">
        <v>5</v>
      </c>
      <c r="K254" s="11" t="s">
        <v>785</v>
      </c>
      <c r="L254" s="11" t="s">
        <v>2</v>
      </c>
      <c r="M254" s="8"/>
      <c r="N254" s="8"/>
      <c r="O254" s="11"/>
      <c r="P254" s="22">
        <v>0</v>
      </c>
      <c r="Q254" s="12"/>
      <c r="R254" s="11"/>
      <c r="S254" s="8">
        <v>40</v>
      </c>
      <c r="T254" s="12"/>
      <c r="U254" s="11"/>
      <c r="V254" s="11" t="s">
        <v>594</v>
      </c>
      <c r="W254" s="11"/>
      <c r="X254" s="9"/>
      <c r="Y254" s="9"/>
      <c r="Z254" s="8" t="s">
        <v>791</v>
      </c>
      <c r="AA254" s="9"/>
      <c r="AB254" s="9" t="s">
        <v>2347</v>
      </c>
      <c r="AC254" s="46" t="s">
        <v>2350</v>
      </c>
    </row>
    <row r="255" spans="1:29" ht="33.75" customHeight="1">
      <c r="A255" s="9"/>
      <c r="B255" s="8" t="s">
        <v>108</v>
      </c>
      <c r="C255" s="9">
        <v>348896</v>
      </c>
      <c r="D255" s="9">
        <v>139934</v>
      </c>
      <c r="E255" s="46" t="s">
        <v>2464</v>
      </c>
      <c r="F255" s="9">
        <v>51.156362000000001</v>
      </c>
      <c r="G255" s="9">
        <v>-2.7321195999999999</v>
      </c>
      <c r="H255" s="9" t="s">
        <v>790</v>
      </c>
      <c r="I255" s="8" t="s">
        <v>784</v>
      </c>
      <c r="J255" s="9">
        <v>5</v>
      </c>
      <c r="K255" s="11" t="s">
        <v>786</v>
      </c>
      <c r="L255" s="11" t="s">
        <v>2</v>
      </c>
      <c r="M255" s="8"/>
      <c r="N255" s="8"/>
      <c r="O255" s="11"/>
      <c r="P255" s="22">
        <v>0</v>
      </c>
      <c r="Q255" s="12"/>
      <c r="R255" s="11"/>
      <c r="S255" s="8">
        <v>30</v>
      </c>
      <c r="T255" s="12"/>
      <c r="U255" s="11"/>
      <c r="V255" s="11" t="s">
        <v>593</v>
      </c>
      <c r="W255" s="11"/>
      <c r="X255" s="9"/>
      <c r="Y255" s="9"/>
      <c r="Z255" s="8" t="s">
        <v>791</v>
      </c>
      <c r="AA255" s="9"/>
      <c r="AB255" s="9" t="s">
        <v>2347</v>
      </c>
      <c r="AC255" s="46" t="s">
        <v>2350</v>
      </c>
    </row>
    <row r="256" spans="1:29" ht="33.75" customHeight="1">
      <c r="A256" s="9"/>
      <c r="B256" s="8" t="s">
        <v>108</v>
      </c>
      <c r="C256" s="9">
        <v>348896</v>
      </c>
      <c r="D256" s="9">
        <v>139934</v>
      </c>
      <c r="E256" s="46" t="s">
        <v>2464</v>
      </c>
      <c r="F256" s="9">
        <v>51.156362000000001</v>
      </c>
      <c r="G256" s="9">
        <v>-2.7321195999999999</v>
      </c>
      <c r="H256" s="9" t="s">
        <v>790</v>
      </c>
      <c r="I256" s="8" t="s">
        <v>787</v>
      </c>
      <c r="J256" s="9">
        <v>5</v>
      </c>
      <c r="K256" s="11" t="s">
        <v>789</v>
      </c>
      <c r="L256" s="11" t="s">
        <v>2</v>
      </c>
      <c r="M256" s="8"/>
      <c r="N256" s="8"/>
      <c r="O256" s="11"/>
      <c r="P256" s="22">
        <v>0</v>
      </c>
      <c r="Q256" s="12"/>
      <c r="R256" s="11"/>
      <c r="S256" s="8">
        <v>46</v>
      </c>
      <c r="T256" s="12"/>
      <c r="U256" s="11"/>
      <c r="V256" s="11" t="s">
        <v>594</v>
      </c>
      <c r="W256" s="11"/>
      <c r="X256" s="9"/>
      <c r="Y256" s="9"/>
      <c r="Z256" s="8" t="s">
        <v>791</v>
      </c>
      <c r="AA256" s="9"/>
      <c r="AB256" s="9" t="s">
        <v>2347</v>
      </c>
      <c r="AC256" s="46" t="s">
        <v>2350</v>
      </c>
    </row>
    <row r="257" spans="1:29" ht="33.75" customHeight="1">
      <c r="A257" s="9"/>
      <c r="B257" s="8" t="s">
        <v>108</v>
      </c>
      <c r="C257" s="9">
        <v>348896</v>
      </c>
      <c r="D257" s="9">
        <v>139934</v>
      </c>
      <c r="E257" s="46" t="s">
        <v>2464</v>
      </c>
      <c r="F257" s="9">
        <v>51.156362000000001</v>
      </c>
      <c r="G257" s="9">
        <v>-2.7321195999999999</v>
      </c>
      <c r="H257" s="9" t="s">
        <v>790</v>
      </c>
      <c r="I257" s="8" t="s">
        <v>788</v>
      </c>
      <c r="J257" s="9">
        <v>5</v>
      </c>
      <c r="K257" s="11"/>
      <c r="L257" s="11" t="s">
        <v>2</v>
      </c>
      <c r="M257" s="8"/>
      <c r="N257" s="8"/>
      <c r="O257" s="11"/>
      <c r="P257" s="22">
        <v>0</v>
      </c>
      <c r="Q257" s="12"/>
      <c r="R257" s="11"/>
      <c r="S257" s="8">
        <v>45</v>
      </c>
      <c r="T257" s="12"/>
      <c r="U257" s="11"/>
      <c r="V257" s="11" t="s">
        <v>594</v>
      </c>
      <c r="W257" s="11"/>
      <c r="X257" s="9"/>
      <c r="Y257" s="9"/>
      <c r="Z257" s="8" t="s">
        <v>791</v>
      </c>
      <c r="AA257" s="9"/>
      <c r="AB257" s="9" t="s">
        <v>2347</v>
      </c>
      <c r="AC257" s="46" t="s">
        <v>2350</v>
      </c>
    </row>
    <row r="258" spans="1:29" ht="33.75" customHeight="1">
      <c r="A258" s="9"/>
      <c r="B258" s="8" t="s">
        <v>1458</v>
      </c>
      <c r="C258" s="26">
        <v>404500</v>
      </c>
      <c r="D258" s="26">
        <v>400100</v>
      </c>
      <c r="E258" s="46" t="s">
        <v>2465</v>
      </c>
      <c r="F258" s="26">
        <v>53.497582000000001</v>
      </c>
      <c r="G258" s="26">
        <v>-1.9336347</v>
      </c>
      <c r="H258" s="10" t="s">
        <v>1122</v>
      </c>
      <c r="I258" s="8" t="s">
        <v>1120</v>
      </c>
      <c r="J258" s="9">
        <v>500</v>
      </c>
      <c r="K258" s="11"/>
      <c r="L258" s="11"/>
      <c r="M258" s="8" t="s">
        <v>1124</v>
      </c>
      <c r="N258" s="8" t="s">
        <v>1123</v>
      </c>
      <c r="O258" s="11">
        <f>8950-4710</f>
        <v>4240</v>
      </c>
      <c r="P258" s="22">
        <v>6</v>
      </c>
      <c r="Q258" s="12">
        <f>P258/O258*1000</f>
        <v>1.4150943396226414</v>
      </c>
      <c r="R258" s="11"/>
      <c r="S258" s="8">
        <v>80</v>
      </c>
      <c r="T258" s="12">
        <f>S258/(O258/1000)</f>
        <v>18.867924528301884</v>
      </c>
      <c r="U258" s="11" t="s">
        <v>1121</v>
      </c>
      <c r="V258" s="11"/>
      <c r="W258" s="11"/>
      <c r="X258" s="9"/>
      <c r="Y258" s="9"/>
      <c r="Z258" s="8" t="s">
        <v>1125</v>
      </c>
      <c r="AA258" s="9"/>
      <c r="AB258" s="9" t="s">
        <v>2347</v>
      </c>
      <c r="AC258" s="46" t="s">
        <v>2350</v>
      </c>
    </row>
    <row r="259" spans="1:29" ht="33.75" customHeight="1">
      <c r="A259" s="9">
        <v>93</v>
      </c>
      <c r="B259" s="8" t="s">
        <v>1737</v>
      </c>
      <c r="C259" s="9">
        <v>469100</v>
      </c>
      <c r="D259" s="9">
        <v>405000</v>
      </c>
      <c r="E259" s="46" t="s">
        <v>2466</v>
      </c>
      <c r="F259" s="9">
        <v>53.537114000000003</v>
      </c>
      <c r="G259" s="9">
        <v>-0.95885235999999996</v>
      </c>
      <c r="H259" s="10" t="s">
        <v>451</v>
      </c>
      <c r="I259" s="8" t="s">
        <v>390</v>
      </c>
      <c r="J259" s="9">
        <v>2</v>
      </c>
      <c r="K259" s="11" t="s">
        <v>449</v>
      </c>
      <c r="L259" s="11" t="s">
        <v>450</v>
      </c>
      <c r="M259" s="8">
        <v>3164</v>
      </c>
      <c r="N259" s="8">
        <v>1405</v>
      </c>
      <c r="O259" s="11">
        <f>M259-N259</f>
        <v>1759</v>
      </c>
      <c r="P259" s="22">
        <v>8</v>
      </c>
      <c r="Q259" s="12">
        <f>P259/O259*1000</f>
        <v>4.5480386583285952</v>
      </c>
      <c r="R259" s="11" t="s">
        <v>40</v>
      </c>
      <c r="S259" s="8">
        <v>17</v>
      </c>
      <c r="T259" s="12">
        <f>S259/(O259/1000)</f>
        <v>9.6645821489482664</v>
      </c>
      <c r="U259" s="11"/>
      <c r="V259" s="11"/>
      <c r="W259" s="11" t="s">
        <v>452</v>
      </c>
      <c r="X259" s="9" t="s">
        <v>454</v>
      </c>
      <c r="Y259" s="9" t="s">
        <v>100</v>
      </c>
      <c r="Z259" s="8" t="s">
        <v>453</v>
      </c>
      <c r="AA259" s="9"/>
      <c r="AB259" s="46" t="s">
        <v>2346</v>
      </c>
      <c r="AC259" s="46" t="s">
        <v>2350</v>
      </c>
    </row>
    <row r="260" spans="1:29" ht="33.75" customHeight="1">
      <c r="A260" s="11"/>
      <c r="B260" s="8" t="s">
        <v>1737</v>
      </c>
      <c r="C260" s="9">
        <v>469100</v>
      </c>
      <c r="D260" s="9">
        <v>405000</v>
      </c>
      <c r="E260" s="46" t="s">
        <v>2168</v>
      </c>
      <c r="F260" s="9">
        <v>53.537114000000003</v>
      </c>
      <c r="G260" s="9">
        <v>-0.95885235999999996</v>
      </c>
      <c r="H260" s="10" t="s">
        <v>451</v>
      </c>
      <c r="I260" s="8" t="s">
        <v>390</v>
      </c>
      <c r="J260" s="9">
        <v>2</v>
      </c>
      <c r="K260" s="11"/>
      <c r="L260" s="11" t="s">
        <v>2</v>
      </c>
      <c r="M260" s="8"/>
      <c r="N260" s="8"/>
      <c r="O260" s="11"/>
      <c r="P260" s="22">
        <v>0</v>
      </c>
      <c r="Q260" s="12"/>
      <c r="R260" s="11"/>
      <c r="S260" s="8">
        <v>35</v>
      </c>
      <c r="T260" s="12"/>
      <c r="U260" s="12" t="s">
        <v>669</v>
      </c>
      <c r="V260" s="11"/>
      <c r="W260" s="11"/>
      <c r="X260" s="9"/>
      <c r="Y260" s="9"/>
      <c r="Z260" s="8" t="s">
        <v>1153</v>
      </c>
      <c r="AA260" s="9"/>
      <c r="AB260" s="9" t="s">
        <v>2347</v>
      </c>
      <c r="AC260" s="46" t="s">
        <v>2350</v>
      </c>
    </row>
    <row r="261" spans="1:29" ht="33.75" customHeight="1">
      <c r="A261" s="11">
        <v>16</v>
      </c>
      <c r="B261" s="8" t="s">
        <v>1736</v>
      </c>
      <c r="C261" s="26">
        <v>377500</v>
      </c>
      <c r="D261" s="26">
        <v>350000</v>
      </c>
      <c r="E261" s="46" t="s">
        <v>2467</v>
      </c>
      <c r="F261" s="26">
        <v>53.046785999999997</v>
      </c>
      <c r="G261" s="26">
        <v>-2.3370728999999999</v>
      </c>
      <c r="H261" s="10" t="s">
        <v>279</v>
      </c>
      <c r="I261" s="8" t="s">
        <v>82</v>
      </c>
      <c r="J261" s="9">
        <v>100</v>
      </c>
      <c r="K261" s="11" t="s">
        <v>83</v>
      </c>
      <c r="L261" s="11" t="s">
        <v>2</v>
      </c>
      <c r="M261" s="8" t="s">
        <v>1468</v>
      </c>
      <c r="N261" s="8" t="s">
        <v>1469</v>
      </c>
      <c r="O261" s="11">
        <v>4335</v>
      </c>
      <c r="P261" s="22">
        <v>5</v>
      </c>
      <c r="Q261" s="12">
        <f>P261/O261*1000</f>
        <v>1.1534025374855825</v>
      </c>
      <c r="R261" s="11" t="s">
        <v>40</v>
      </c>
      <c r="S261" s="8">
        <v>60</v>
      </c>
      <c r="T261" s="12">
        <f>S261/(O261/1000)</f>
        <v>13.84083044982699</v>
      </c>
      <c r="U261" s="11"/>
      <c r="V261" s="11"/>
      <c r="W261" s="11" t="s">
        <v>23</v>
      </c>
      <c r="X261" s="9" t="s">
        <v>41</v>
      </c>
      <c r="Y261" s="9" t="s">
        <v>42</v>
      </c>
      <c r="Z261" s="8" t="s">
        <v>153</v>
      </c>
      <c r="AA261" s="9"/>
      <c r="AB261" s="9" t="s">
        <v>2347</v>
      </c>
      <c r="AC261" s="46" t="s">
        <v>2350</v>
      </c>
    </row>
    <row r="262" spans="1:29" ht="33.75" customHeight="1">
      <c r="A262" s="11">
        <v>38</v>
      </c>
      <c r="B262" s="8" t="s">
        <v>1736</v>
      </c>
      <c r="C262" s="9">
        <v>393100</v>
      </c>
      <c r="D262" s="9">
        <v>323900</v>
      </c>
      <c r="E262" s="46" t="s">
        <v>625</v>
      </c>
      <c r="F262" s="9">
        <v>52.808096999999997</v>
      </c>
      <c r="G262" s="9">
        <v>-2.1112180999999999</v>
      </c>
      <c r="H262" s="10" t="s">
        <v>293</v>
      </c>
      <c r="I262" s="8" t="s">
        <v>128</v>
      </c>
      <c r="J262" s="9">
        <v>70</v>
      </c>
      <c r="K262" s="11" t="s">
        <v>129</v>
      </c>
      <c r="L262" s="11" t="s">
        <v>2</v>
      </c>
      <c r="M262" s="8">
        <v>13250</v>
      </c>
      <c r="N262" s="8">
        <v>1370</v>
      </c>
      <c r="O262" s="11">
        <f>M262-N262</f>
        <v>11880</v>
      </c>
      <c r="P262" s="22">
        <v>14</v>
      </c>
      <c r="Q262" s="12">
        <f>P262/O262*1000</f>
        <v>1.1784511784511784</v>
      </c>
      <c r="R262" s="11" t="s">
        <v>68</v>
      </c>
      <c r="S262" s="8">
        <v>200</v>
      </c>
      <c r="T262" s="12">
        <f>S262/(O262/1000)</f>
        <v>16.835016835016834</v>
      </c>
      <c r="U262" s="11"/>
      <c r="V262" s="11"/>
      <c r="W262" s="11" t="s">
        <v>130</v>
      </c>
      <c r="X262" s="9" t="s">
        <v>127</v>
      </c>
      <c r="Y262" s="9" t="s">
        <v>100</v>
      </c>
      <c r="Z262" s="8" t="s">
        <v>165</v>
      </c>
      <c r="AA262" s="9"/>
      <c r="AB262" s="9" t="s">
        <v>2347</v>
      </c>
      <c r="AC262" s="46" t="s">
        <v>2350</v>
      </c>
    </row>
    <row r="263" spans="1:29" ht="33.75" customHeight="1">
      <c r="A263" s="9">
        <v>80</v>
      </c>
      <c r="B263" s="8" t="s">
        <v>374</v>
      </c>
      <c r="C263" s="9">
        <v>517959</v>
      </c>
      <c r="D263" s="9">
        <v>160180</v>
      </c>
      <c r="E263" s="46" t="s">
        <v>2468</v>
      </c>
      <c r="F263" s="9">
        <v>51.328493000000002</v>
      </c>
      <c r="G263" s="9">
        <v>-0.308338</v>
      </c>
      <c r="H263" s="10" t="s">
        <v>1286</v>
      </c>
      <c r="I263" s="8" t="s">
        <v>373</v>
      </c>
      <c r="J263" s="9">
        <v>30</v>
      </c>
      <c r="K263" s="11" t="s">
        <v>43</v>
      </c>
      <c r="L263" s="11" t="s">
        <v>2</v>
      </c>
      <c r="M263" s="8">
        <v>1870</v>
      </c>
      <c r="N263" s="8">
        <v>270</v>
      </c>
      <c r="O263" s="11">
        <f>M263-N263</f>
        <v>1600</v>
      </c>
      <c r="P263" s="22">
        <v>5</v>
      </c>
      <c r="Q263" s="12">
        <f>P263/O263*1000</f>
        <v>3.125</v>
      </c>
      <c r="R263" s="11" t="s">
        <v>40</v>
      </c>
      <c r="S263" s="8">
        <v>50</v>
      </c>
      <c r="T263" s="12">
        <f>S263/(O263/1000)</f>
        <v>31.25</v>
      </c>
      <c r="U263" s="11"/>
      <c r="V263" s="11"/>
      <c r="W263" s="11" t="s">
        <v>375</v>
      </c>
      <c r="X263" s="9" t="s">
        <v>376</v>
      </c>
      <c r="Y263" s="9" t="s">
        <v>100</v>
      </c>
      <c r="Z263" s="8" t="s">
        <v>377</v>
      </c>
      <c r="AA263" s="9"/>
      <c r="AB263" s="9" t="s">
        <v>2347</v>
      </c>
      <c r="AC263" s="46" t="s">
        <v>2350</v>
      </c>
    </row>
    <row r="264" spans="1:29" ht="33.75" customHeight="1">
      <c r="A264" s="9"/>
      <c r="B264" s="8" t="s">
        <v>973</v>
      </c>
      <c r="C264" s="26">
        <v>588050</v>
      </c>
      <c r="D264" s="9">
        <v>117120</v>
      </c>
      <c r="E264" s="46" t="s">
        <v>2469</v>
      </c>
      <c r="F264" s="26">
        <v>50.922888</v>
      </c>
      <c r="G264" s="26">
        <v>0.67425186000000004</v>
      </c>
      <c r="H264" s="36" t="s">
        <v>1043</v>
      </c>
      <c r="I264" s="8" t="s">
        <v>963</v>
      </c>
      <c r="J264" s="9">
        <v>50</v>
      </c>
      <c r="K264" s="11" t="s">
        <v>1038</v>
      </c>
      <c r="L264" s="11" t="s">
        <v>383</v>
      </c>
      <c r="M264" s="8" t="s">
        <v>964</v>
      </c>
      <c r="N264" s="8"/>
      <c r="O264" s="11"/>
      <c r="P264" s="22">
        <v>1</v>
      </c>
      <c r="Q264" s="12"/>
      <c r="R264" s="11" t="s">
        <v>40</v>
      </c>
      <c r="S264" s="8">
        <v>28</v>
      </c>
      <c r="T264" s="12"/>
      <c r="U264" s="11" t="s">
        <v>1047</v>
      </c>
      <c r="V264" s="11"/>
      <c r="W264" s="11" t="s">
        <v>79</v>
      </c>
      <c r="X264" s="9"/>
      <c r="Y264" s="9"/>
      <c r="Z264" s="8" t="s">
        <v>1049</v>
      </c>
      <c r="AA264" s="9"/>
      <c r="AB264" s="9" t="s">
        <v>2347</v>
      </c>
      <c r="AC264" s="46" t="s">
        <v>2350</v>
      </c>
    </row>
    <row r="265" spans="1:29" ht="33.75" customHeight="1">
      <c r="A265" s="9"/>
      <c r="B265" s="8" t="s">
        <v>973</v>
      </c>
      <c r="C265" s="26">
        <v>588050</v>
      </c>
      <c r="D265" s="9">
        <v>117080</v>
      </c>
      <c r="E265" s="46" t="s">
        <v>2469</v>
      </c>
      <c r="F265" s="26">
        <v>50.922528</v>
      </c>
      <c r="G265" s="26">
        <v>0.67423124999999995</v>
      </c>
      <c r="H265" s="36" t="s">
        <v>1042</v>
      </c>
      <c r="I265" s="8" t="s">
        <v>963</v>
      </c>
      <c r="J265" s="9">
        <v>50</v>
      </c>
      <c r="K265" s="11" t="s">
        <v>1039</v>
      </c>
      <c r="L265" s="11" t="s">
        <v>781</v>
      </c>
      <c r="M265" s="8"/>
      <c r="N265" s="8"/>
      <c r="O265" s="11"/>
      <c r="P265" s="22">
        <v>0</v>
      </c>
      <c r="Q265" s="12"/>
      <c r="R265" s="11" t="s">
        <v>40</v>
      </c>
      <c r="S265" s="8">
        <v>13</v>
      </c>
      <c r="T265" s="12"/>
      <c r="U265" s="11" t="s">
        <v>1046</v>
      </c>
      <c r="V265" s="11"/>
      <c r="W265" s="11"/>
      <c r="X265" s="9"/>
      <c r="Y265" s="9"/>
      <c r="Z265" s="8" t="s">
        <v>1049</v>
      </c>
      <c r="AA265" s="9"/>
      <c r="AB265" s="9" t="s">
        <v>2347</v>
      </c>
      <c r="AC265" s="46" t="s">
        <v>2350</v>
      </c>
    </row>
    <row r="266" spans="1:29" ht="33.75" customHeight="1">
      <c r="A266" s="9"/>
      <c r="B266" s="8" t="s">
        <v>973</v>
      </c>
      <c r="C266" s="26">
        <v>588060</v>
      </c>
      <c r="D266" s="9">
        <v>117190</v>
      </c>
      <c r="E266" s="46" t="s">
        <v>2469</v>
      </c>
      <c r="F266" s="26">
        <v>50.923513</v>
      </c>
      <c r="G266" s="26">
        <v>0.67443005</v>
      </c>
      <c r="H266" s="36" t="s">
        <v>1044</v>
      </c>
      <c r="I266" s="8" t="s">
        <v>963</v>
      </c>
      <c r="J266" s="9">
        <v>50</v>
      </c>
      <c r="K266" s="11" t="s">
        <v>1040</v>
      </c>
      <c r="L266" s="11" t="s">
        <v>781</v>
      </c>
      <c r="M266" s="8"/>
      <c r="N266" s="8"/>
      <c r="O266" s="11"/>
      <c r="P266" s="22">
        <v>0</v>
      </c>
      <c r="Q266" s="12"/>
      <c r="R266" s="11" t="s">
        <v>40</v>
      </c>
      <c r="S266" s="8">
        <v>22</v>
      </c>
      <c r="T266" s="12"/>
      <c r="U266" s="11" t="s">
        <v>1048</v>
      </c>
      <c r="V266" s="11"/>
      <c r="W266" s="11"/>
      <c r="X266" s="9"/>
      <c r="Y266" s="9"/>
      <c r="Z266" s="8" t="s">
        <v>1049</v>
      </c>
      <c r="AA266" s="9"/>
      <c r="AB266" s="9" t="s">
        <v>2347</v>
      </c>
      <c r="AC266" s="46" t="s">
        <v>2350</v>
      </c>
    </row>
    <row r="267" spans="1:29" ht="33.75" customHeight="1">
      <c r="A267" s="9"/>
      <c r="B267" s="8" t="s">
        <v>973</v>
      </c>
      <c r="C267" s="26">
        <v>588090</v>
      </c>
      <c r="D267" s="9">
        <v>117830</v>
      </c>
      <c r="E267" s="46" t="s">
        <v>2469</v>
      </c>
      <c r="F267" s="26">
        <v>50.929251999999998</v>
      </c>
      <c r="G267" s="26">
        <v>0.67518630999999996</v>
      </c>
      <c r="H267" s="36" t="s">
        <v>1045</v>
      </c>
      <c r="I267" s="8" t="s">
        <v>963</v>
      </c>
      <c r="J267" s="9">
        <v>50</v>
      </c>
      <c r="K267" s="11" t="s">
        <v>1041</v>
      </c>
      <c r="L267" s="11" t="s">
        <v>781</v>
      </c>
      <c r="M267" s="8"/>
      <c r="N267" s="8"/>
      <c r="O267" s="11"/>
      <c r="P267" s="22">
        <v>0</v>
      </c>
      <c r="Q267" s="12"/>
      <c r="R267" s="11" t="s">
        <v>40</v>
      </c>
      <c r="S267" s="8">
        <v>36</v>
      </c>
      <c r="T267" s="12"/>
      <c r="U267" s="11" t="s">
        <v>1048</v>
      </c>
      <c r="V267" s="11"/>
      <c r="W267" s="11"/>
      <c r="X267" s="9"/>
      <c r="Y267" s="9"/>
      <c r="Z267" s="8" t="s">
        <v>1049</v>
      </c>
      <c r="AA267" s="9"/>
      <c r="AB267" s="9" t="s">
        <v>2347</v>
      </c>
      <c r="AC267" s="46" t="s">
        <v>2350</v>
      </c>
    </row>
    <row r="268" spans="1:29" ht="33.75" customHeight="1">
      <c r="A268" s="9"/>
      <c r="B268" s="8" t="s">
        <v>973</v>
      </c>
      <c r="C268" s="9">
        <v>594300</v>
      </c>
      <c r="D268" s="9">
        <v>121900</v>
      </c>
      <c r="E268" s="46" t="s">
        <v>2470</v>
      </c>
      <c r="F268" s="9">
        <v>50.963751999999999</v>
      </c>
      <c r="G268" s="9">
        <v>0.76561732000000005</v>
      </c>
      <c r="H268" s="36" t="s">
        <v>972</v>
      </c>
      <c r="I268" s="8" t="s">
        <v>953</v>
      </c>
      <c r="J268" s="9">
        <v>5</v>
      </c>
      <c r="K268" s="11"/>
      <c r="L268" s="11" t="s">
        <v>2</v>
      </c>
      <c r="M268" s="8" t="s">
        <v>965</v>
      </c>
      <c r="N268" s="8" t="s">
        <v>966</v>
      </c>
      <c r="O268" s="11">
        <f>3520-2040</f>
        <v>1480</v>
      </c>
      <c r="P268" s="22">
        <v>4</v>
      </c>
      <c r="Q268" s="12">
        <f>P268/O268*1000</f>
        <v>2.7027027027027026</v>
      </c>
      <c r="R268" s="11"/>
      <c r="S268" s="8">
        <v>38</v>
      </c>
      <c r="T268" s="12">
        <f>S268/(O268/1000)</f>
        <v>25.675675675675677</v>
      </c>
      <c r="U268" s="11" t="s">
        <v>857</v>
      </c>
      <c r="V268" s="11" t="s">
        <v>594</v>
      </c>
      <c r="W268" s="11"/>
      <c r="X268" s="9"/>
      <c r="Y268" s="9"/>
      <c r="Z268" s="8" t="s">
        <v>974</v>
      </c>
      <c r="AA268" s="9"/>
      <c r="AB268" s="9" t="s">
        <v>2347</v>
      </c>
      <c r="AC268" s="46" t="s">
        <v>2350</v>
      </c>
    </row>
    <row r="269" spans="1:29" ht="33.75" customHeight="1">
      <c r="A269" s="9"/>
      <c r="B269" s="8" t="s">
        <v>973</v>
      </c>
      <c r="C269" s="9">
        <v>589000</v>
      </c>
      <c r="D269" s="9">
        <v>123600</v>
      </c>
      <c r="E269" s="46" t="s">
        <v>2470</v>
      </c>
      <c r="F269" s="9">
        <v>50.980783000000002</v>
      </c>
      <c r="G269" s="9">
        <v>0.69111409999999995</v>
      </c>
      <c r="H269" s="36" t="s">
        <v>971</v>
      </c>
      <c r="I269" s="8" t="s">
        <v>954</v>
      </c>
      <c r="J269" s="9">
        <v>8</v>
      </c>
      <c r="K269" s="11"/>
      <c r="L269" s="11" t="s">
        <v>2</v>
      </c>
      <c r="M269" s="8" t="s">
        <v>967</v>
      </c>
      <c r="N269" s="8" t="s">
        <v>968</v>
      </c>
      <c r="O269" s="11">
        <f>4647-2980</f>
        <v>1667</v>
      </c>
      <c r="P269" s="22">
        <v>4</v>
      </c>
      <c r="Q269" s="12">
        <f>P269/O269*1000</f>
        <v>2.3995200959808036</v>
      </c>
      <c r="R269" s="11"/>
      <c r="S269" s="8">
        <v>38</v>
      </c>
      <c r="T269" s="12">
        <f>S269/(O269/1000)</f>
        <v>22.795440911817636</v>
      </c>
      <c r="U269" s="11" t="s">
        <v>857</v>
      </c>
      <c r="V269" s="11" t="s">
        <v>594</v>
      </c>
      <c r="W269" s="11"/>
      <c r="X269" s="9"/>
      <c r="Y269" s="9"/>
      <c r="Z269" s="8" t="s">
        <v>974</v>
      </c>
      <c r="AA269" s="9"/>
      <c r="AB269" s="9" t="s">
        <v>2347</v>
      </c>
      <c r="AC269" s="46" t="s">
        <v>2350</v>
      </c>
    </row>
    <row r="270" spans="1:29" ht="33.75" customHeight="1">
      <c r="A270" s="9"/>
      <c r="B270" s="8" t="s">
        <v>973</v>
      </c>
      <c r="C270" s="26">
        <v>588300</v>
      </c>
      <c r="D270" s="26">
        <v>115100</v>
      </c>
      <c r="E270" s="46" t="s">
        <v>2470</v>
      </c>
      <c r="F270" s="26">
        <v>50.904660999999997</v>
      </c>
      <c r="G270" s="26">
        <v>0.67676312000000005</v>
      </c>
      <c r="H270" s="36" t="s">
        <v>970</v>
      </c>
      <c r="I270" s="8" t="s">
        <v>380</v>
      </c>
      <c r="J270" s="9">
        <v>5</v>
      </c>
      <c r="K270" s="11"/>
      <c r="L270" s="11" t="s">
        <v>2</v>
      </c>
      <c r="M270" s="8" t="s">
        <v>955</v>
      </c>
      <c r="N270" s="8" t="s">
        <v>969</v>
      </c>
      <c r="O270" s="11">
        <f>3510-1654</f>
        <v>1856</v>
      </c>
      <c r="P270" s="22">
        <v>5</v>
      </c>
      <c r="Q270" s="12">
        <f>P270/O270*1000</f>
        <v>2.6939655172413794</v>
      </c>
      <c r="R270" s="11"/>
      <c r="S270" s="8">
        <v>40</v>
      </c>
      <c r="T270" s="12">
        <f>S270/(O270/1000)</f>
        <v>21.551724137931032</v>
      </c>
      <c r="U270" s="11" t="s">
        <v>904</v>
      </c>
      <c r="V270" s="11" t="s">
        <v>594</v>
      </c>
      <c r="W270" s="11"/>
      <c r="X270" s="9"/>
      <c r="Y270" s="9"/>
      <c r="Z270" s="8" t="s">
        <v>974</v>
      </c>
      <c r="AA270" s="9"/>
      <c r="AB270" s="9" t="s">
        <v>2347</v>
      </c>
      <c r="AC270" s="46" t="s">
        <v>2350</v>
      </c>
    </row>
    <row r="271" spans="1:29" ht="33.75" customHeight="1">
      <c r="A271" s="9"/>
      <c r="B271" s="8" t="s">
        <v>973</v>
      </c>
      <c r="C271" s="9">
        <v>598200</v>
      </c>
      <c r="D271" s="9">
        <v>131800</v>
      </c>
      <c r="E271" s="46" t="s">
        <v>2471</v>
      </c>
      <c r="F271" s="9">
        <v>51.051338999999999</v>
      </c>
      <c r="G271" s="9">
        <v>0.82648743999999996</v>
      </c>
      <c r="H271" s="10" t="s">
        <v>998</v>
      </c>
      <c r="I271" s="8" t="s">
        <v>996</v>
      </c>
      <c r="J271" s="9">
        <v>1</v>
      </c>
      <c r="K271" s="11" t="s">
        <v>997</v>
      </c>
      <c r="L271" s="11"/>
      <c r="M271" s="8" t="s">
        <v>1000</v>
      </c>
      <c r="N271" s="8" t="s">
        <v>1001</v>
      </c>
      <c r="O271" s="11">
        <f>5500-5150</f>
        <v>350</v>
      </c>
      <c r="P271" s="22">
        <v>2</v>
      </c>
      <c r="Q271" s="12">
        <f>P271/O271*1000</f>
        <v>5.7142857142857144</v>
      </c>
      <c r="R271" s="11"/>
      <c r="S271" s="8">
        <v>7</v>
      </c>
      <c r="T271" s="12">
        <f>S271/(O271/1000)</f>
        <v>20</v>
      </c>
      <c r="U271" s="11"/>
      <c r="V271" s="11" t="s">
        <v>594</v>
      </c>
      <c r="W271" s="11"/>
      <c r="X271" s="9"/>
      <c r="Y271" s="9"/>
      <c r="Z271" s="8" t="s">
        <v>1557</v>
      </c>
      <c r="AA271" s="9" t="s">
        <v>1002</v>
      </c>
      <c r="AB271" s="9" t="s">
        <v>2347</v>
      </c>
      <c r="AC271" s="46" t="s">
        <v>2350</v>
      </c>
    </row>
    <row r="272" spans="1:29" ht="33.75" customHeight="1">
      <c r="A272" s="9"/>
      <c r="B272" s="8" t="s">
        <v>973</v>
      </c>
      <c r="C272" s="9">
        <v>598200</v>
      </c>
      <c r="D272" s="9">
        <v>131800</v>
      </c>
      <c r="E272" s="46" t="s">
        <v>2429</v>
      </c>
      <c r="F272" s="9">
        <v>51.051338999999999</v>
      </c>
      <c r="G272" s="9">
        <v>0.82648743999999996</v>
      </c>
      <c r="H272" s="10" t="s">
        <v>998</v>
      </c>
      <c r="I272" s="8" t="s">
        <v>996</v>
      </c>
      <c r="J272" s="9">
        <v>1</v>
      </c>
      <c r="K272" s="11"/>
      <c r="L272" s="11" t="s">
        <v>1328</v>
      </c>
      <c r="M272" s="8" t="s">
        <v>1559</v>
      </c>
      <c r="N272" s="8" t="s">
        <v>1558</v>
      </c>
      <c r="O272" s="11">
        <f>5890-3060</f>
        <v>2830</v>
      </c>
      <c r="P272" s="22">
        <v>7</v>
      </c>
      <c r="Q272" s="12"/>
      <c r="R272" s="11"/>
      <c r="S272" s="8">
        <v>40</v>
      </c>
      <c r="T272" s="12"/>
      <c r="U272" s="11"/>
      <c r="V272" s="11"/>
      <c r="W272" s="11"/>
      <c r="X272" s="9"/>
      <c r="Y272" s="9"/>
      <c r="Z272" s="8" t="s">
        <v>1560</v>
      </c>
      <c r="AA272" s="9"/>
      <c r="AB272" s="9" t="s">
        <v>2347</v>
      </c>
      <c r="AC272" s="46" t="s">
        <v>2350</v>
      </c>
    </row>
    <row r="273" spans="1:29" ht="33.75" customHeight="1">
      <c r="A273" s="9"/>
      <c r="B273" s="8" t="s">
        <v>973</v>
      </c>
      <c r="C273" s="9">
        <v>599500</v>
      </c>
      <c r="D273" s="9">
        <v>119300</v>
      </c>
      <c r="E273" s="46" t="s">
        <v>2471</v>
      </c>
      <c r="F273" s="9">
        <v>50.938625000000002</v>
      </c>
      <c r="G273" s="9">
        <v>0.83815012</v>
      </c>
      <c r="H273" s="10" t="s">
        <v>1003</v>
      </c>
      <c r="I273" s="8" t="s">
        <v>999</v>
      </c>
      <c r="J273" s="9">
        <v>5</v>
      </c>
      <c r="K273" s="11" t="s">
        <v>1007</v>
      </c>
      <c r="L273" s="11"/>
      <c r="M273" s="8" t="s">
        <v>1004</v>
      </c>
      <c r="N273" s="8" t="s">
        <v>1005</v>
      </c>
      <c r="O273" s="11">
        <f>3410-3160</f>
        <v>250</v>
      </c>
      <c r="P273" s="22">
        <v>2</v>
      </c>
      <c r="Q273" s="12">
        <f>P273/O273*1000</f>
        <v>8</v>
      </c>
      <c r="R273" s="11"/>
      <c r="S273" s="8">
        <v>3</v>
      </c>
      <c r="T273" s="12">
        <f>S273/(O273/1000)</f>
        <v>12</v>
      </c>
      <c r="U273" s="11"/>
      <c r="V273" s="11" t="s">
        <v>594</v>
      </c>
      <c r="W273" s="11"/>
      <c r="X273" s="9"/>
      <c r="Y273" s="9"/>
      <c r="Z273" s="8" t="s">
        <v>1557</v>
      </c>
      <c r="AA273" s="9" t="s">
        <v>1006</v>
      </c>
      <c r="AB273" s="9" t="s">
        <v>2347</v>
      </c>
      <c r="AC273" s="46" t="s">
        <v>2350</v>
      </c>
    </row>
    <row r="274" spans="1:29" ht="33.75" customHeight="1">
      <c r="A274" s="9"/>
      <c r="B274" s="8" t="s">
        <v>973</v>
      </c>
      <c r="C274" s="9">
        <v>599500</v>
      </c>
      <c r="D274" s="9">
        <v>119300</v>
      </c>
      <c r="E274" s="46" t="s">
        <v>2471</v>
      </c>
      <c r="F274" s="9">
        <v>50.938625000000002</v>
      </c>
      <c r="G274" s="9">
        <v>0.83815012</v>
      </c>
      <c r="H274" s="10" t="s">
        <v>1003</v>
      </c>
      <c r="I274" s="8" t="s">
        <v>999</v>
      </c>
      <c r="J274" s="9">
        <v>5</v>
      </c>
      <c r="K274" s="11" t="s">
        <v>1008</v>
      </c>
      <c r="L274" s="11"/>
      <c r="M274" s="8" t="s">
        <v>1009</v>
      </c>
      <c r="N274" s="8" t="s">
        <v>1010</v>
      </c>
      <c r="O274" s="11">
        <f>3520-3060</f>
        <v>460</v>
      </c>
      <c r="P274" s="22">
        <v>2</v>
      </c>
      <c r="Q274" s="12">
        <f>P274/O274*1000</f>
        <v>4.3478260869565215</v>
      </c>
      <c r="R274" s="11"/>
      <c r="S274" s="8">
        <v>5</v>
      </c>
      <c r="T274" s="12">
        <f>S274/(O274/1000)</f>
        <v>10.869565217391305</v>
      </c>
      <c r="U274" s="11"/>
      <c r="V274" s="11" t="s">
        <v>594</v>
      </c>
      <c r="W274" s="11"/>
      <c r="X274" s="9"/>
      <c r="Y274" s="9"/>
      <c r="Z274" s="8" t="s">
        <v>1557</v>
      </c>
      <c r="AA274" s="9" t="s">
        <v>1006</v>
      </c>
      <c r="AB274" s="9" t="s">
        <v>2347</v>
      </c>
      <c r="AC274" s="46" t="s">
        <v>2350</v>
      </c>
    </row>
    <row r="275" spans="1:29" ht="33.75" customHeight="1">
      <c r="A275" s="11"/>
      <c r="B275" s="8" t="s">
        <v>973</v>
      </c>
      <c r="C275" s="26">
        <v>484900</v>
      </c>
      <c r="D275" s="26">
        <v>122200</v>
      </c>
      <c r="E275" s="50" t="s">
        <v>2472</v>
      </c>
      <c r="F275" s="26">
        <v>50.992946000000003</v>
      </c>
      <c r="G275" s="26">
        <v>-0.79164858000000005</v>
      </c>
      <c r="H275" s="10" t="s">
        <v>1440</v>
      </c>
      <c r="I275" s="8" t="s">
        <v>1439</v>
      </c>
      <c r="J275" s="11">
        <v>50</v>
      </c>
      <c r="K275" s="11"/>
      <c r="L275" s="11"/>
      <c r="M275" s="8"/>
      <c r="N275" s="8"/>
      <c r="O275" s="11"/>
      <c r="P275" s="22">
        <v>0</v>
      </c>
      <c r="Q275" s="12"/>
      <c r="R275" s="11"/>
      <c r="S275" s="8">
        <v>18</v>
      </c>
      <c r="T275" s="12"/>
      <c r="U275" s="11"/>
      <c r="V275" s="11" t="s">
        <v>593</v>
      </c>
      <c r="W275" s="11"/>
      <c r="X275" s="11"/>
      <c r="Y275" s="11"/>
      <c r="Z275" s="8" t="s">
        <v>1441</v>
      </c>
      <c r="AA275" s="11"/>
      <c r="AB275" s="9" t="s">
        <v>2347</v>
      </c>
      <c r="AC275" s="46" t="s">
        <v>2350</v>
      </c>
    </row>
    <row r="276" spans="1:29" ht="33.75" customHeight="1">
      <c r="A276" s="11">
        <v>85</v>
      </c>
      <c r="B276" s="8" t="s">
        <v>5</v>
      </c>
      <c r="C276" s="9">
        <v>507600</v>
      </c>
      <c r="D276" s="9">
        <v>116900</v>
      </c>
      <c r="E276" s="46" t="s">
        <v>2416</v>
      </c>
      <c r="F276" s="9">
        <v>50.941512000000003</v>
      </c>
      <c r="G276" s="9">
        <v>-0.46987673000000002</v>
      </c>
      <c r="H276" s="10" t="s">
        <v>408</v>
      </c>
      <c r="I276" s="8" t="s">
        <v>406</v>
      </c>
      <c r="J276" s="9">
        <v>10</v>
      </c>
      <c r="K276" s="11" t="s">
        <v>117</v>
      </c>
      <c r="L276" s="11" t="s">
        <v>2</v>
      </c>
      <c r="M276" s="8">
        <v>4260</v>
      </c>
      <c r="N276" s="8">
        <v>1460</v>
      </c>
      <c r="O276" s="11">
        <f>M276-N276</f>
        <v>2800</v>
      </c>
      <c r="P276" s="22">
        <v>5</v>
      </c>
      <c r="Q276" s="12">
        <f>P276/O276*1000</f>
        <v>1.7857142857142856</v>
      </c>
      <c r="R276" s="11" t="s">
        <v>40</v>
      </c>
      <c r="S276" s="8">
        <v>90</v>
      </c>
      <c r="T276" s="12">
        <f>S276/(O276/1000)</f>
        <v>32.142857142857146</v>
      </c>
      <c r="U276" s="11"/>
      <c r="V276" s="11"/>
      <c r="W276" s="11" t="s">
        <v>403</v>
      </c>
      <c r="X276" s="9" t="s">
        <v>410</v>
      </c>
      <c r="Y276" s="9" t="s">
        <v>100</v>
      </c>
      <c r="Z276" s="8" t="s">
        <v>409</v>
      </c>
      <c r="AA276" s="9"/>
      <c r="AB276" s="9" t="s">
        <v>2347</v>
      </c>
      <c r="AC276" s="46" t="s">
        <v>2350</v>
      </c>
    </row>
    <row r="277" spans="1:29" ht="33.75" customHeight="1">
      <c r="A277" s="11">
        <v>2</v>
      </c>
      <c r="B277" s="8" t="s">
        <v>5</v>
      </c>
      <c r="C277" s="9">
        <v>493000</v>
      </c>
      <c r="D277" s="9">
        <v>106800</v>
      </c>
      <c r="E277" s="46" t="s">
        <v>2473</v>
      </c>
      <c r="F277" s="9">
        <v>50.848835000000001</v>
      </c>
      <c r="G277" s="9">
        <v>-0.68741443000000002</v>
      </c>
      <c r="H277" s="10" t="s">
        <v>273</v>
      </c>
      <c r="I277" s="8" t="s">
        <v>900</v>
      </c>
      <c r="J277" s="9">
        <v>15</v>
      </c>
      <c r="K277" s="11"/>
      <c r="L277" s="11" t="s">
        <v>901</v>
      </c>
      <c r="M277" s="8"/>
      <c r="N277" s="8"/>
      <c r="O277" s="11"/>
      <c r="P277" s="22">
        <v>0</v>
      </c>
      <c r="Q277" s="12"/>
      <c r="R277" s="11" t="s">
        <v>40</v>
      </c>
      <c r="S277" s="8">
        <v>4</v>
      </c>
      <c r="T277" s="12"/>
      <c r="U277" s="11"/>
      <c r="V277" s="11" t="s">
        <v>593</v>
      </c>
      <c r="W277" s="11" t="s">
        <v>4</v>
      </c>
      <c r="X277" s="9" t="s">
        <v>41</v>
      </c>
      <c r="Y277" s="9" t="s">
        <v>42</v>
      </c>
      <c r="Z277" s="8" t="s">
        <v>147</v>
      </c>
      <c r="AA277" s="9"/>
      <c r="AB277" s="9" t="s">
        <v>2347</v>
      </c>
      <c r="AC277" s="46" t="s">
        <v>2350</v>
      </c>
    </row>
    <row r="278" spans="1:29" ht="33.75" customHeight="1">
      <c r="A278" s="11"/>
      <c r="B278" s="8" t="s">
        <v>5</v>
      </c>
      <c r="C278" s="26">
        <v>424700</v>
      </c>
      <c r="D278" s="26">
        <v>107200</v>
      </c>
      <c r="E278" s="46" t="s">
        <v>2414</v>
      </c>
      <c r="F278" s="26">
        <v>50.863784000000003</v>
      </c>
      <c r="G278" s="26">
        <v>-1.6504015999999999</v>
      </c>
      <c r="H278" s="48" t="s">
        <v>741</v>
      </c>
      <c r="I278" s="8" t="s">
        <v>104</v>
      </c>
      <c r="J278" s="9">
        <v>40</v>
      </c>
      <c r="K278" s="11"/>
      <c r="L278" s="11" t="s">
        <v>2</v>
      </c>
      <c r="M278" s="8" t="s">
        <v>1497</v>
      </c>
      <c r="N278" s="8" t="s">
        <v>1496</v>
      </c>
      <c r="O278" s="11">
        <v>2571</v>
      </c>
      <c r="P278" s="22">
        <v>6</v>
      </c>
      <c r="Q278" s="12">
        <f>P278/O278*1000</f>
        <v>2.3337222870478409</v>
      </c>
      <c r="R278" s="11"/>
      <c r="S278" s="8">
        <v>85</v>
      </c>
      <c r="T278" s="12">
        <f>S278/(O278/1000)</f>
        <v>33.061065733177749</v>
      </c>
      <c r="U278" s="15" t="s">
        <v>740</v>
      </c>
      <c r="V278" s="11"/>
      <c r="W278" s="11"/>
      <c r="X278" s="9"/>
      <c r="Y278" s="9"/>
      <c r="Z278" s="8" t="s">
        <v>742</v>
      </c>
      <c r="AA278" s="9"/>
      <c r="AB278" s="9" t="s">
        <v>2347</v>
      </c>
      <c r="AC278" s="46" t="s">
        <v>2350</v>
      </c>
    </row>
    <row r="279" spans="1:29" ht="33.75" customHeight="1">
      <c r="A279" s="11">
        <v>18</v>
      </c>
      <c r="B279" s="8" t="s">
        <v>1740</v>
      </c>
      <c r="C279" s="26">
        <v>405700</v>
      </c>
      <c r="D279" s="26">
        <v>193400</v>
      </c>
      <c r="E279" s="46" t="s">
        <v>2474</v>
      </c>
      <c r="F279" s="26">
        <v>51.639375999999999</v>
      </c>
      <c r="G279" s="26">
        <v>-1.9190305999999999</v>
      </c>
      <c r="H279" s="49" t="s">
        <v>280</v>
      </c>
      <c r="I279" s="8" t="s">
        <v>84</v>
      </c>
      <c r="J279" s="9">
        <v>80</v>
      </c>
      <c r="K279" s="11" t="s">
        <v>85</v>
      </c>
      <c r="L279" s="11" t="s">
        <v>2</v>
      </c>
      <c r="M279" s="8" t="s">
        <v>1470</v>
      </c>
      <c r="N279" s="8"/>
      <c r="O279" s="11"/>
      <c r="P279" s="22">
        <v>1</v>
      </c>
      <c r="Q279" s="12"/>
      <c r="R279" s="11"/>
      <c r="S279" s="8">
        <v>11</v>
      </c>
      <c r="T279" s="12"/>
      <c r="U279" s="11"/>
      <c r="V279" s="11"/>
      <c r="W279" s="11" t="s">
        <v>86</v>
      </c>
      <c r="X279" s="9" t="s">
        <v>41</v>
      </c>
      <c r="Y279" s="9" t="s">
        <v>42</v>
      </c>
      <c r="Z279" s="8" t="s">
        <v>154</v>
      </c>
      <c r="AA279" s="9" t="s">
        <v>1471</v>
      </c>
      <c r="AB279" s="9" t="s">
        <v>2347</v>
      </c>
      <c r="AC279" s="46" t="s">
        <v>2350</v>
      </c>
    </row>
    <row r="280" spans="1:29" ht="33.75" customHeight="1">
      <c r="A280" s="11">
        <v>31</v>
      </c>
      <c r="B280" s="8" t="s">
        <v>115</v>
      </c>
      <c r="C280" s="9">
        <v>385266</v>
      </c>
      <c r="D280" s="9">
        <v>275435</v>
      </c>
      <c r="E280" s="46" t="s">
        <v>2475</v>
      </c>
      <c r="F280" s="10">
        <v>52.372245999999997</v>
      </c>
      <c r="G280" s="26">
        <v>-2.2251889999999999</v>
      </c>
      <c r="H280" s="50" t="s">
        <v>309</v>
      </c>
      <c r="I280" s="8" t="s">
        <v>114</v>
      </c>
      <c r="J280" s="9">
        <v>40</v>
      </c>
      <c r="K280" s="11" t="s">
        <v>114</v>
      </c>
      <c r="L280" s="11" t="s">
        <v>2</v>
      </c>
      <c r="M280" s="8" t="s">
        <v>1499</v>
      </c>
      <c r="N280" s="8" t="s">
        <v>1500</v>
      </c>
      <c r="O280" s="11">
        <v>7960</v>
      </c>
      <c r="P280" s="22">
        <v>6</v>
      </c>
      <c r="Q280" s="12">
        <f>P280/O280*1000</f>
        <v>0.75376884422110546</v>
      </c>
      <c r="R280" s="11" t="s">
        <v>40</v>
      </c>
      <c r="S280" s="8">
        <v>95</v>
      </c>
      <c r="T280" s="12">
        <f>S280/(O280/1000)</f>
        <v>11.93467336683417</v>
      </c>
      <c r="U280" s="11" t="s">
        <v>904</v>
      </c>
      <c r="V280" s="11"/>
      <c r="W280" s="11" t="s">
        <v>116</v>
      </c>
      <c r="X280" s="9" t="s">
        <v>122</v>
      </c>
      <c r="Y280" s="9" t="s">
        <v>100</v>
      </c>
      <c r="Z280" s="8" t="s">
        <v>162</v>
      </c>
      <c r="AA280" s="9"/>
      <c r="AB280" s="9" t="s">
        <v>2347</v>
      </c>
      <c r="AC280" s="46" t="s">
        <v>2350</v>
      </c>
    </row>
    <row r="281" spans="1:29" ht="33.75" customHeight="1">
      <c r="A281" s="11"/>
      <c r="B281" s="8" t="s">
        <v>737</v>
      </c>
      <c r="C281" s="9">
        <v>472747</v>
      </c>
      <c r="D281" s="9">
        <v>423538</v>
      </c>
      <c r="E281" s="46" t="s">
        <v>2168</v>
      </c>
      <c r="F281" s="9">
        <v>53.703215</v>
      </c>
      <c r="G281" s="9">
        <v>-0.89951130999999995</v>
      </c>
      <c r="H281" s="49" t="s">
        <v>1150</v>
      </c>
      <c r="I281" s="8" t="s">
        <v>1146</v>
      </c>
      <c r="J281" s="9">
        <v>2</v>
      </c>
      <c r="K281" s="11"/>
      <c r="L281" s="11" t="s">
        <v>2</v>
      </c>
      <c r="M281" s="8"/>
      <c r="N281" s="8"/>
      <c r="O281" s="11"/>
      <c r="P281" s="22">
        <v>0</v>
      </c>
      <c r="Q281" s="12"/>
      <c r="R281" s="11"/>
      <c r="S281" s="8">
        <v>10</v>
      </c>
      <c r="T281" s="12"/>
      <c r="U281" s="12" t="s">
        <v>669</v>
      </c>
      <c r="V281" s="11"/>
      <c r="W281" s="11"/>
      <c r="X281" s="9"/>
      <c r="Y281" s="9"/>
      <c r="Z281" s="8" t="s">
        <v>1153</v>
      </c>
      <c r="AA281" s="9"/>
      <c r="AB281" s="9" t="s">
        <v>2347</v>
      </c>
      <c r="AC281" s="46" t="s">
        <v>2350</v>
      </c>
    </row>
    <row r="282" spans="1:29" ht="33.75" customHeight="1">
      <c r="A282" s="9"/>
      <c r="B282" s="8" t="s">
        <v>737</v>
      </c>
      <c r="C282" s="26">
        <v>398600</v>
      </c>
      <c r="D282" s="26">
        <v>461300</v>
      </c>
      <c r="E282" s="9" t="s">
        <v>625</v>
      </c>
      <c r="F282" s="26">
        <v>54.047663999999997</v>
      </c>
      <c r="G282" s="26">
        <v>-2.0228733000000001</v>
      </c>
      <c r="H282" s="11" t="s">
        <v>515</v>
      </c>
      <c r="I282" s="8" t="s">
        <v>494</v>
      </c>
      <c r="J282" s="9">
        <v>190</v>
      </c>
      <c r="K282" s="11" t="s">
        <v>626</v>
      </c>
      <c r="L282" s="11" t="s">
        <v>2</v>
      </c>
      <c r="M282" s="8"/>
      <c r="N282" s="8"/>
      <c r="O282" s="11"/>
      <c r="P282" s="22">
        <v>0</v>
      </c>
      <c r="Q282" s="12"/>
      <c r="R282" s="11" t="s">
        <v>40</v>
      </c>
      <c r="S282" s="8">
        <v>56</v>
      </c>
      <c r="T282" s="12"/>
      <c r="U282" s="11"/>
      <c r="V282" s="11" t="s">
        <v>636</v>
      </c>
      <c r="W282" s="11" t="s">
        <v>637</v>
      </c>
      <c r="X282" s="9"/>
      <c r="Y282" s="9"/>
      <c r="Z282" s="8" t="s">
        <v>498</v>
      </c>
      <c r="AA282" s="9"/>
      <c r="AB282" s="9" t="s">
        <v>2347</v>
      </c>
      <c r="AC282" s="46" t="s">
        <v>2350</v>
      </c>
    </row>
    <row r="283" spans="1:29" ht="33.75" customHeight="1">
      <c r="A283" s="9"/>
      <c r="B283" s="8" t="s">
        <v>737</v>
      </c>
      <c r="C283" s="26">
        <v>397000</v>
      </c>
      <c r="D283" s="26">
        <v>462800</v>
      </c>
      <c r="E283" s="9" t="s">
        <v>625</v>
      </c>
      <c r="F283" s="26">
        <v>54.061138</v>
      </c>
      <c r="G283" s="26">
        <v>-2.0473249999999998</v>
      </c>
      <c r="H283" s="11" t="s">
        <v>516</v>
      </c>
      <c r="I283" s="8" t="s">
        <v>495</v>
      </c>
      <c r="J283" s="9">
        <v>282</v>
      </c>
      <c r="K283" s="11" t="s">
        <v>627</v>
      </c>
      <c r="L283" s="11" t="s">
        <v>2</v>
      </c>
      <c r="M283" s="8" t="s">
        <v>1273</v>
      </c>
      <c r="N283" s="8"/>
      <c r="O283" s="11"/>
      <c r="P283" s="22">
        <v>1</v>
      </c>
      <c r="Q283" s="12"/>
      <c r="R283" s="11" t="s">
        <v>40</v>
      </c>
      <c r="S283" s="8">
        <v>37</v>
      </c>
      <c r="T283" s="12"/>
      <c r="U283" s="11"/>
      <c r="V283" s="11" t="s">
        <v>636</v>
      </c>
      <c r="W283" s="11" t="s">
        <v>637</v>
      </c>
      <c r="X283" s="9"/>
      <c r="Y283" s="9"/>
      <c r="Z283" s="8" t="s">
        <v>498</v>
      </c>
      <c r="AA283" s="9"/>
      <c r="AB283" s="9" t="s">
        <v>2347</v>
      </c>
      <c r="AC283" s="46" t="s">
        <v>2350</v>
      </c>
    </row>
    <row r="284" spans="1:29" ht="33.75" customHeight="1">
      <c r="A284" s="9"/>
      <c r="B284" s="8" t="s">
        <v>737</v>
      </c>
      <c r="C284" s="26">
        <v>391800</v>
      </c>
      <c r="D284" s="26">
        <v>457600</v>
      </c>
      <c r="E284" s="9" t="s">
        <v>625</v>
      </c>
      <c r="F284" s="26">
        <v>54.014344999999999</v>
      </c>
      <c r="G284" s="26">
        <v>-2.1266257999999998</v>
      </c>
      <c r="H284" s="11" t="s">
        <v>648</v>
      </c>
      <c r="I284" s="8" t="s">
        <v>496</v>
      </c>
      <c r="J284" s="9">
        <v>144</v>
      </c>
      <c r="K284" s="11" t="s">
        <v>628</v>
      </c>
      <c r="L284" s="11" t="s">
        <v>2</v>
      </c>
      <c r="M284" s="8" t="s">
        <v>1272</v>
      </c>
      <c r="N284" s="8" t="s">
        <v>1271</v>
      </c>
      <c r="O284" s="11">
        <f>5010-3600</f>
        <v>1410</v>
      </c>
      <c r="P284" s="22">
        <v>2</v>
      </c>
      <c r="Q284" s="18">
        <f>P284/O284*1000</f>
        <v>1.4184397163120568</v>
      </c>
      <c r="R284" s="11" t="s">
        <v>6</v>
      </c>
      <c r="S284" s="8">
        <v>22</v>
      </c>
      <c r="T284" s="12">
        <f>S284/(O284/1000)</f>
        <v>15.602836879432624</v>
      </c>
      <c r="U284" s="11"/>
      <c r="V284" s="11" t="s">
        <v>636</v>
      </c>
      <c r="W284" s="11" t="s">
        <v>637</v>
      </c>
      <c r="X284" s="9"/>
      <c r="Y284" s="9"/>
      <c r="Z284" s="8" t="s">
        <v>498</v>
      </c>
      <c r="AA284" s="9"/>
      <c r="AB284" s="9" t="s">
        <v>2347</v>
      </c>
      <c r="AC284" s="46" t="s">
        <v>2350</v>
      </c>
    </row>
    <row r="285" spans="1:29" ht="33.75" customHeight="1">
      <c r="A285" s="9"/>
      <c r="B285" s="8" t="s">
        <v>737</v>
      </c>
      <c r="C285" s="26">
        <v>391800</v>
      </c>
      <c r="D285" s="26">
        <v>457600</v>
      </c>
      <c r="E285" s="9" t="s">
        <v>625</v>
      </c>
      <c r="F285" s="26">
        <v>54.014344999999999</v>
      </c>
      <c r="G285" s="26">
        <v>-2.1266257999999998</v>
      </c>
      <c r="H285" s="11" t="s">
        <v>648</v>
      </c>
      <c r="I285" s="8" t="s">
        <v>631</v>
      </c>
      <c r="J285" s="9">
        <v>144</v>
      </c>
      <c r="K285" s="11" t="s">
        <v>629</v>
      </c>
      <c r="L285" s="11" t="s">
        <v>2</v>
      </c>
      <c r="M285" s="8" t="s">
        <v>1274</v>
      </c>
      <c r="N285" s="8"/>
      <c r="O285" s="11"/>
      <c r="P285" s="22">
        <v>1</v>
      </c>
      <c r="Q285" s="18"/>
      <c r="R285" s="11" t="s">
        <v>6</v>
      </c>
      <c r="S285" s="8">
        <v>35</v>
      </c>
      <c r="T285" s="12"/>
      <c r="U285" s="11"/>
      <c r="V285" s="11" t="s">
        <v>636</v>
      </c>
      <c r="W285" s="11" t="s">
        <v>637</v>
      </c>
      <c r="X285" s="9"/>
      <c r="Y285" s="9"/>
      <c r="Z285" s="8" t="s">
        <v>498</v>
      </c>
      <c r="AA285" s="9"/>
      <c r="AB285" s="9" t="s">
        <v>2347</v>
      </c>
      <c r="AC285" s="46" t="s">
        <v>2350</v>
      </c>
    </row>
    <row r="286" spans="1:29" ht="33.75" customHeight="1">
      <c r="A286" s="9"/>
      <c r="B286" s="8" t="s">
        <v>737</v>
      </c>
      <c r="C286" s="26">
        <v>379200</v>
      </c>
      <c r="D286" s="26">
        <v>454600</v>
      </c>
      <c r="E286" s="9" t="s">
        <v>625</v>
      </c>
      <c r="F286" s="26">
        <v>53.987025000000003</v>
      </c>
      <c r="G286" s="26">
        <v>-2.3186987999999999</v>
      </c>
      <c r="H286" s="11" t="s">
        <v>517</v>
      </c>
      <c r="I286" s="8" t="s">
        <v>632</v>
      </c>
      <c r="J286" s="9">
        <v>190</v>
      </c>
      <c r="K286" s="11" t="s">
        <v>634</v>
      </c>
      <c r="L286" s="11" t="s">
        <v>2</v>
      </c>
      <c r="M286" s="8" t="s">
        <v>1275</v>
      </c>
      <c r="N286" s="8" t="s">
        <v>1276</v>
      </c>
      <c r="O286" s="11">
        <f>7590-1470</f>
        <v>6120</v>
      </c>
      <c r="P286" s="22">
        <v>4</v>
      </c>
      <c r="Q286" s="18">
        <f>P286/O286*1000</f>
        <v>0.65359477124183007</v>
      </c>
      <c r="R286" s="11" t="s">
        <v>40</v>
      </c>
      <c r="S286" s="8">
        <v>48</v>
      </c>
      <c r="T286" s="12">
        <f>S286/(O286/1000)</f>
        <v>7.8431372549019605</v>
      </c>
      <c r="U286" s="11"/>
      <c r="V286" s="11" t="s">
        <v>636</v>
      </c>
      <c r="W286" s="11" t="s">
        <v>637</v>
      </c>
      <c r="X286" s="9"/>
      <c r="Y286" s="9"/>
      <c r="Z286" s="8" t="s">
        <v>498</v>
      </c>
      <c r="AA286" s="9"/>
      <c r="AB286" s="9" t="s">
        <v>2347</v>
      </c>
      <c r="AC286" s="46" t="s">
        <v>2350</v>
      </c>
    </row>
    <row r="287" spans="1:29" ht="33.75" customHeight="1">
      <c r="A287" s="9"/>
      <c r="B287" s="8" t="s">
        <v>737</v>
      </c>
      <c r="C287" s="26">
        <v>379200</v>
      </c>
      <c r="D287" s="26">
        <v>454600</v>
      </c>
      <c r="E287" s="9" t="s">
        <v>625</v>
      </c>
      <c r="F287" s="26">
        <v>53.987025000000003</v>
      </c>
      <c r="G287" s="26">
        <v>-2.3186987999999999</v>
      </c>
      <c r="H287" s="11" t="s">
        <v>517</v>
      </c>
      <c r="I287" s="8" t="s">
        <v>633</v>
      </c>
      <c r="J287" s="9">
        <v>190</v>
      </c>
      <c r="K287" s="11" t="s">
        <v>635</v>
      </c>
      <c r="L287" s="11" t="s">
        <v>2</v>
      </c>
      <c r="M287" s="8" t="s">
        <v>1277</v>
      </c>
      <c r="N287" s="8" t="s">
        <v>1278</v>
      </c>
      <c r="O287" s="11">
        <f>7520-1190</f>
        <v>6330</v>
      </c>
      <c r="P287" s="22">
        <v>3</v>
      </c>
      <c r="Q287" s="18">
        <f>P287/O287*1000</f>
        <v>0.47393364928909953</v>
      </c>
      <c r="R287" s="11" t="s">
        <v>40</v>
      </c>
      <c r="S287" s="8">
        <v>34</v>
      </c>
      <c r="T287" s="12">
        <f>S287/(O287/1000)</f>
        <v>5.3712480252764614</v>
      </c>
      <c r="U287" s="11"/>
      <c r="V287" s="11" t="s">
        <v>636</v>
      </c>
      <c r="W287" s="11" t="s">
        <v>637</v>
      </c>
      <c r="X287" s="9"/>
      <c r="Y287" s="9"/>
      <c r="Z287" s="8" t="s">
        <v>498</v>
      </c>
      <c r="AA287" s="9"/>
      <c r="AB287" s="9" t="s">
        <v>2347</v>
      </c>
      <c r="AC287" s="46" t="s">
        <v>2350</v>
      </c>
    </row>
    <row r="288" spans="1:29" ht="33.75" customHeight="1">
      <c r="A288" s="9"/>
      <c r="B288" s="8" t="s">
        <v>737</v>
      </c>
      <c r="C288" s="26">
        <v>389300</v>
      </c>
      <c r="D288" s="26">
        <v>451800</v>
      </c>
      <c r="E288" s="9" t="s">
        <v>625</v>
      </c>
      <c r="F288" s="26">
        <v>53.96217</v>
      </c>
      <c r="G288" s="26">
        <v>-2.1645707999999999</v>
      </c>
      <c r="H288" s="11" t="s">
        <v>518</v>
      </c>
      <c r="I288" s="8" t="s">
        <v>497</v>
      </c>
      <c r="J288" s="9">
        <v>150</v>
      </c>
      <c r="K288" s="11" t="s">
        <v>630</v>
      </c>
      <c r="L288" s="11" t="s">
        <v>2</v>
      </c>
      <c r="M288" s="8" t="s">
        <v>1279</v>
      </c>
      <c r="N288" s="8" t="s">
        <v>1280</v>
      </c>
      <c r="O288" s="11">
        <f>10090-6080</f>
        <v>4010</v>
      </c>
      <c r="P288" s="22">
        <v>4</v>
      </c>
      <c r="Q288" s="18">
        <f>P288/O288*1000</f>
        <v>0.99750623441396502</v>
      </c>
      <c r="R288" s="11" t="s">
        <v>40</v>
      </c>
      <c r="S288" s="8">
        <v>50</v>
      </c>
      <c r="T288" s="12">
        <f>S288/(O288/1000)</f>
        <v>12.468827930174564</v>
      </c>
      <c r="U288" s="11"/>
      <c r="V288" s="11" t="s">
        <v>636</v>
      </c>
      <c r="W288" s="11" t="s">
        <v>637</v>
      </c>
      <c r="X288" s="9"/>
      <c r="Y288" s="9"/>
      <c r="Z288" s="8" t="s">
        <v>498</v>
      </c>
      <c r="AA288" s="9"/>
      <c r="AB288" s="9" t="s">
        <v>2347</v>
      </c>
      <c r="AC288" s="46" t="s">
        <v>2350</v>
      </c>
    </row>
    <row r="289" spans="1:29" ht="33.75" customHeight="1">
      <c r="A289" s="9"/>
      <c r="B289" s="8" t="s">
        <v>737</v>
      </c>
      <c r="C289" s="9">
        <v>448335</v>
      </c>
      <c r="D289" s="9">
        <v>443140</v>
      </c>
      <c r="E289" s="46" t="s">
        <v>2476</v>
      </c>
      <c r="F289" s="9">
        <v>53.882210000000001</v>
      </c>
      <c r="G289" s="9">
        <v>-1.2661901</v>
      </c>
      <c r="H289" s="10" t="s">
        <v>658</v>
      </c>
      <c r="I289" s="8" t="s">
        <v>656</v>
      </c>
      <c r="J289" s="9">
        <v>10</v>
      </c>
      <c r="K289" s="11"/>
      <c r="L289" s="11" t="s">
        <v>2</v>
      </c>
      <c r="M289" s="8"/>
      <c r="N289" s="8"/>
      <c r="O289" s="11"/>
      <c r="P289" s="22">
        <v>0</v>
      </c>
      <c r="Q289" s="12"/>
      <c r="R289" s="11"/>
      <c r="S289" s="8">
        <v>70</v>
      </c>
      <c r="T289" s="12"/>
      <c r="U289" s="11" t="s">
        <v>6</v>
      </c>
      <c r="V289" s="11" t="s">
        <v>594</v>
      </c>
      <c r="W289" s="11" t="s">
        <v>662</v>
      </c>
      <c r="X289" s="9"/>
      <c r="Y289" s="9"/>
      <c r="Z289" s="8" t="s">
        <v>659</v>
      </c>
      <c r="AA289" s="9"/>
      <c r="AB289" s="9" t="s">
        <v>2347</v>
      </c>
      <c r="AC289" s="46" t="s">
        <v>2350</v>
      </c>
    </row>
    <row r="290" spans="1:29" ht="33.75" customHeight="1">
      <c r="A290" s="9"/>
      <c r="B290" s="8" t="s">
        <v>737</v>
      </c>
      <c r="C290" s="9">
        <v>502915</v>
      </c>
      <c r="D290" s="9">
        <v>480974</v>
      </c>
      <c r="E290" s="46" t="s">
        <v>2477</v>
      </c>
      <c r="F290" s="9">
        <v>54.214168999999998</v>
      </c>
      <c r="G290" s="9">
        <v>-0.42333299000000002</v>
      </c>
      <c r="H290" s="9" t="s">
        <v>729</v>
      </c>
      <c r="I290" s="8" t="s">
        <v>727</v>
      </c>
      <c r="J290" s="9">
        <v>30</v>
      </c>
      <c r="K290" s="11"/>
      <c r="L290" s="11" t="s">
        <v>733</v>
      </c>
      <c r="M290" s="8" t="s">
        <v>770</v>
      </c>
      <c r="N290" s="8" t="s">
        <v>771</v>
      </c>
      <c r="O290" s="11">
        <v>240</v>
      </c>
      <c r="P290" s="22">
        <v>4</v>
      </c>
      <c r="Q290" s="12">
        <f>P290/O290*1000</f>
        <v>16.666666666666668</v>
      </c>
      <c r="R290" s="11"/>
      <c r="S290" s="8">
        <v>85</v>
      </c>
      <c r="T290" s="12">
        <f>S290/(O290/1000)</f>
        <v>354.16666666666669</v>
      </c>
      <c r="U290" s="11" t="s">
        <v>728</v>
      </c>
      <c r="V290" s="11" t="s">
        <v>594</v>
      </c>
      <c r="W290" s="11"/>
      <c r="X290" s="9"/>
      <c r="Y290" s="9"/>
      <c r="Z290" s="8" t="s">
        <v>730</v>
      </c>
      <c r="AA290" s="9"/>
      <c r="AB290" s="9" t="s">
        <v>2347</v>
      </c>
      <c r="AC290" s="46" t="s">
        <v>2350</v>
      </c>
    </row>
    <row r="291" spans="1:29" ht="33.75" customHeight="1">
      <c r="A291" s="9"/>
      <c r="B291" s="8" t="s">
        <v>1735</v>
      </c>
      <c r="C291" s="26">
        <v>511300</v>
      </c>
      <c r="D291" s="26">
        <v>459700</v>
      </c>
      <c r="E291" s="46" t="s">
        <v>2478</v>
      </c>
      <c r="F291" s="26">
        <v>54.021307999999998</v>
      </c>
      <c r="G291" s="26">
        <v>-0.30264425</v>
      </c>
      <c r="H291" s="10" t="s">
        <v>1031</v>
      </c>
      <c r="I291" s="8" t="s">
        <v>1030</v>
      </c>
      <c r="J291" s="9">
        <v>8</v>
      </c>
      <c r="K291" s="11" t="s">
        <v>1035</v>
      </c>
      <c r="L291" s="11" t="s">
        <v>1036</v>
      </c>
      <c r="M291" s="8" t="s">
        <v>1032</v>
      </c>
      <c r="N291" s="8" t="s">
        <v>1033</v>
      </c>
      <c r="O291" s="11">
        <f>11790-11715</f>
        <v>75</v>
      </c>
      <c r="P291" s="22">
        <v>5</v>
      </c>
      <c r="Q291" s="12">
        <f>P291/O291*1000</f>
        <v>66.666666666666671</v>
      </c>
      <c r="R291" s="11"/>
      <c r="S291" s="8">
        <v>40</v>
      </c>
      <c r="T291" s="12">
        <f>S291/(O291/1000)</f>
        <v>533.33333333333337</v>
      </c>
      <c r="U291" s="11" t="s">
        <v>857</v>
      </c>
      <c r="V291" s="11" t="s">
        <v>594</v>
      </c>
      <c r="W291" s="11"/>
      <c r="X291" s="9"/>
      <c r="Y291" s="9"/>
      <c r="Z291" s="8" t="s">
        <v>1037</v>
      </c>
      <c r="AA291" s="9" t="s">
        <v>1034</v>
      </c>
      <c r="AB291" s="9" t="s">
        <v>2347</v>
      </c>
      <c r="AC291" s="46" t="s">
        <v>2350</v>
      </c>
    </row>
    <row r="292" spans="1:29" ht="33.75" customHeight="1">
      <c r="A292" s="9"/>
      <c r="B292" s="8" t="s">
        <v>1737</v>
      </c>
      <c r="C292" s="26">
        <v>472300</v>
      </c>
      <c r="D292" s="26">
        <v>414400</v>
      </c>
      <c r="E292" s="46" t="s">
        <v>2457</v>
      </c>
      <c r="F292" s="26">
        <v>53.621158000000001</v>
      </c>
      <c r="G292" s="26">
        <v>-0.90840474999999998</v>
      </c>
      <c r="H292" s="10" t="s">
        <v>1413</v>
      </c>
      <c r="I292" s="8" t="s">
        <v>1412</v>
      </c>
      <c r="J292" s="9">
        <v>0</v>
      </c>
      <c r="K292" s="11"/>
      <c r="L292" s="11"/>
      <c r="M292" s="8" t="s">
        <v>1421</v>
      </c>
      <c r="N292" s="8" t="s">
        <v>1420</v>
      </c>
      <c r="O292" s="11">
        <f>3170-2329</f>
        <v>841</v>
      </c>
      <c r="P292" s="22">
        <v>3</v>
      </c>
      <c r="Q292" s="12"/>
      <c r="R292" s="11"/>
      <c r="S292" s="8">
        <v>18</v>
      </c>
      <c r="T292" s="12"/>
      <c r="U292" s="11" t="s">
        <v>904</v>
      </c>
      <c r="V292" s="11"/>
      <c r="W292" s="11"/>
      <c r="X292" s="9"/>
      <c r="Y292" s="9"/>
      <c r="Z292" s="8" t="s">
        <v>1427</v>
      </c>
      <c r="AA292" s="9" t="s">
        <v>1422</v>
      </c>
      <c r="AB292" s="9" t="s">
        <v>2347</v>
      </c>
      <c r="AC292" s="46" t="s">
        <v>2350</v>
      </c>
    </row>
    <row r="293" spans="1:29" ht="33.75" customHeight="1">
      <c r="A293" s="9"/>
      <c r="B293" s="8" t="s">
        <v>504</v>
      </c>
      <c r="C293" s="41">
        <v>370200</v>
      </c>
      <c r="D293" s="41">
        <v>396100</v>
      </c>
      <c r="E293" s="9" t="s">
        <v>550</v>
      </c>
      <c r="F293" s="41">
        <v>53.460796999999999</v>
      </c>
      <c r="G293" s="41">
        <v>-2.4502932999999998</v>
      </c>
      <c r="H293" s="11" t="s">
        <v>523</v>
      </c>
      <c r="I293" s="8" t="s">
        <v>505</v>
      </c>
      <c r="J293" s="9">
        <v>23</v>
      </c>
      <c r="K293" s="11"/>
      <c r="L293" s="11" t="s">
        <v>2</v>
      </c>
      <c r="M293" s="8"/>
      <c r="N293" s="8"/>
      <c r="O293" s="11"/>
      <c r="P293" s="22">
        <v>0</v>
      </c>
      <c r="Q293" s="18"/>
      <c r="R293" s="11" t="s">
        <v>40</v>
      </c>
      <c r="S293" s="8">
        <v>52</v>
      </c>
      <c r="T293" s="12"/>
      <c r="U293" s="11">
        <v>320</v>
      </c>
      <c r="V293" s="11" t="s">
        <v>594</v>
      </c>
      <c r="W293" s="11" t="s">
        <v>639</v>
      </c>
      <c r="X293" s="9"/>
      <c r="Y293" s="9"/>
      <c r="Z293" s="8" t="s">
        <v>506</v>
      </c>
      <c r="AA293" s="9"/>
      <c r="AB293" s="9" t="s">
        <v>2347</v>
      </c>
      <c r="AC293" s="46" t="s">
        <v>2350</v>
      </c>
    </row>
    <row r="294" spans="1:29" ht="33.75" customHeight="1">
      <c r="A294" s="9"/>
      <c r="B294" s="8" t="s">
        <v>504</v>
      </c>
      <c r="C294" s="41">
        <v>370200</v>
      </c>
      <c r="D294" s="41">
        <v>396100</v>
      </c>
      <c r="E294" s="46" t="s">
        <v>2479</v>
      </c>
      <c r="F294" s="41">
        <v>53.460796999999999</v>
      </c>
      <c r="G294" s="41">
        <v>-2.4502932999999998</v>
      </c>
      <c r="H294" s="11" t="s">
        <v>523</v>
      </c>
      <c r="I294" s="8" t="s">
        <v>505</v>
      </c>
      <c r="J294" s="9">
        <v>23</v>
      </c>
      <c r="K294" s="11" t="s">
        <v>841</v>
      </c>
      <c r="L294" s="11" t="s">
        <v>2</v>
      </c>
      <c r="M294" s="8"/>
      <c r="N294" s="8"/>
      <c r="O294" s="11"/>
      <c r="P294" s="22">
        <v>0</v>
      </c>
      <c r="Q294" s="18"/>
      <c r="R294" s="11"/>
      <c r="S294" s="8">
        <v>38</v>
      </c>
      <c r="T294" s="12"/>
      <c r="U294" s="11"/>
      <c r="V294" s="11" t="s">
        <v>593</v>
      </c>
      <c r="W294" s="11"/>
      <c r="X294" s="9"/>
      <c r="Y294" s="9"/>
      <c r="Z294" s="8" t="s">
        <v>1428</v>
      </c>
      <c r="AA294" s="9"/>
      <c r="AB294" s="9" t="s">
        <v>2347</v>
      </c>
      <c r="AC294" s="46" t="s">
        <v>2350</v>
      </c>
    </row>
    <row r="295" spans="1:29" ht="33.75" customHeight="1">
      <c r="A295" s="9"/>
      <c r="B295" s="8" t="s">
        <v>504</v>
      </c>
      <c r="C295" s="41">
        <v>370200</v>
      </c>
      <c r="D295" s="41">
        <v>396100</v>
      </c>
      <c r="E295" s="46" t="s">
        <v>2479</v>
      </c>
      <c r="F295" s="41">
        <v>53.460796999999999</v>
      </c>
      <c r="G295" s="41">
        <v>-2.4502932999999998</v>
      </c>
      <c r="H295" s="11" t="s">
        <v>523</v>
      </c>
      <c r="I295" s="8" t="s">
        <v>505</v>
      </c>
      <c r="J295" s="9">
        <v>23</v>
      </c>
      <c r="K295" s="11" t="s">
        <v>577</v>
      </c>
      <c r="L295" s="11" t="s">
        <v>2</v>
      </c>
      <c r="M295" s="8"/>
      <c r="N295" s="8"/>
      <c r="O295" s="11"/>
      <c r="P295" s="22">
        <v>0</v>
      </c>
      <c r="Q295" s="18"/>
      <c r="R295" s="11"/>
      <c r="S295" s="8">
        <v>36</v>
      </c>
      <c r="T295" s="12"/>
      <c r="U295" s="11"/>
      <c r="V295" s="11" t="s">
        <v>593</v>
      </c>
      <c r="W295" s="11"/>
      <c r="X295" s="9"/>
      <c r="Y295" s="9"/>
      <c r="Z295" s="8" t="s">
        <v>1428</v>
      </c>
      <c r="AA295" s="9"/>
      <c r="AB295" s="9" t="s">
        <v>2347</v>
      </c>
      <c r="AC295" s="46" t="s">
        <v>2350</v>
      </c>
    </row>
    <row r="296" spans="1:29" ht="33.75" customHeight="1">
      <c r="A296" s="9"/>
      <c r="B296" s="8" t="s">
        <v>504</v>
      </c>
      <c r="C296" s="41">
        <v>370200</v>
      </c>
      <c r="D296" s="41">
        <v>396100</v>
      </c>
      <c r="E296" s="46" t="s">
        <v>2479</v>
      </c>
      <c r="F296" s="41">
        <v>53.460796999999999</v>
      </c>
      <c r="G296" s="41">
        <v>-2.4502932999999998</v>
      </c>
      <c r="H296" s="11" t="s">
        <v>523</v>
      </c>
      <c r="I296" s="8" t="s">
        <v>505</v>
      </c>
      <c r="J296" s="9">
        <v>23</v>
      </c>
      <c r="K296" s="11" t="s">
        <v>424</v>
      </c>
      <c r="L296" s="11" t="s">
        <v>2</v>
      </c>
      <c r="M296" s="8"/>
      <c r="N296" s="8"/>
      <c r="O296" s="11"/>
      <c r="P296" s="22">
        <v>0</v>
      </c>
      <c r="Q296" s="18"/>
      <c r="R296" s="11"/>
      <c r="S296" s="8">
        <v>26</v>
      </c>
      <c r="T296" s="12"/>
      <c r="U296" s="11"/>
      <c r="V296" s="11" t="s">
        <v>593</v>
      </c>
      <c r="W296" s="11"/>
      <c r="X296" s="9"/>
      <c r="Y296" s="9"/>
      <c r="Z296" s="8" t="s">
        <v>1428</v>
      </c>
      <c r="AA296" s="9"/>
      <c r="AB296" s="9" t="s">
        <v>2347</v>
      </c>
      <c r="AC296" s="46" t="s">
        <v>2350</v>
      </c>
    </row>
    <row r="297" spans="1:29" ht="33.75" customHeight="1">
      <c r="A297" s="9"/>
      <c r="B297" s="8" t="s">
        <v>504</v>
      </c>
      <c r="C297" s="9">
        <v>333700</v>
      </c>
      <c r="D297" s="9">
        <v>438900</v>
      </c>
      <c r="E297" s="46" t="s">
        <v>2480</v>
      </c>
      <c r="F297" s="9">
        <v>53.842095</v>
      </c>
      <c r="G297" s="9">
        <v>-3.0091082</v>
      </c>
      <c r="H297" s="10" t="s">
        <v>937</v>
      </c>
      <c r="I297" s="8" t="s">
        <v>938</v>
      </c>
      <c r="J297" s="9">
        <v>9</v>
      </c>
      <c r="K297" s="11"/>
      <c r="L297" s="11"/>
      <c r="M297" s="8" t="s">
        <v>939</v>
      </c>
      <c r="N297" s="8" t="s">
        <v>940</v>
      </c>
      <c r="O297" s="11">
        <f>3070-2550</f>
        <v>520</v>
      </c>
      <c r="P297" s="22">
        <v>3</v>
      </c>
      <c r="Q297" s="12">
        <f>P297/O297*1000</f>
        <v>5.7692307692307692</v>
      </c>
      <c r="R297" s="11"/>
      <c r="S297" s="8">
        <v>8</v>
      </c>
      <c r="T297" s="12">
        <f>S297/(O297/1000)</f>
        <v>15.384615384615383</v>
      </c>
      <c r="U297" s="11" t="s">
        <v>857</v>
      </c>
      <c r="V297" s="11" t="s">
        <v>594</v>
      </c>
      <c r="W297" s="11"/>
      <c r="X297" s="9"/>
      <c r="Y297" s="9"/>
      <c r="Z297" s="8" t="s">
        <v>941</v>
      </c>
      <c r="AA297" s="9"/>
      <c r="AB297" s="9" t="s">
        <v>2347</v>
      </c>
      <c r="AC297" s="46" t="s">
        <v>2350</v>
      </c>
    </row>
    <row r="298" spans="1:29" ht="33.75" customHeight="1">
      <c r="A298" s="9"/>
      <c r="B298" s="8" t="s">
        <v>504</v>
      </c>
      <c r="C298" s="9">
        <v>340350</v>
      </c>
      <c r="D298" s="9">
        <v>444950</v>
      </c>
      <c r="E298" s="46" t="s">
        <v>2481</v>
      </c>
      <c r="F298" s="9">
        <v>53.897272000000001</v>
      </c>
      <c r="G298" s="9">
        <v>-2.9092353000000002</v>
      </c>
      <c r="H298" s="10" t="s">
        <v>943</v>
      </c>
      <c r="I298" s="8" t="s">
        <v>942</v>
      </c>
      <c r="J298" s="9">
        <v>9</v>
      </c>
      <c r="K298" s="11"/>
      <c r="L298" s="11" t="s">
        <v>947</v>
      </c>
      <c r="M298" s="8" t="s">
        <v>945</v>
      </c>
      <c r="N298" s="8" t="s">
        <v>944</v>
      </c>
      <c r="O298" s="11">
        <f>4860-390</f>
        <v>4470</v>
      </c>
      <c r="P298" s="22">
        <v>22</v>
      </c>
      <c r="Q298" s="12">
        <f>P298/O298*1000</f>
        <v>4.9217002237136471</v>
      </c>
      <c r="R298" s="11"/>
      <c r="S298" s="8">
        <v>76</v>
      </c>
      <c r="T298" s="12">
        <f>S298/(O298/1000)</f>
        <v>17.002237136465325</v>
      </c>
      <c r="U298" s="11" t="s">
        <v>904</v>
      </c>
      <c r="V298" s="11" t="s">
        <v>594</v>
      </c>
      <c r="W298" s="11"/>
      <c r="X298" s="9"/>
      <c r="Y298" s="9"/>
      <c r="Z298" s="8" t="s">
        <v>946</v>
      </c>
      <c r="AA298" s="9"/>
      <c r="AB298" s="9" t="s">
        <v>2347</v>
      </c>
      <c r="AC298" s="46" t="s">
        <v>2350</v>
      </c>
    </row>
    <row r="299" spans="1:29" ht="33.75" customHeight="1">
      <c r="A299" s="9"/>
      <c r="B299" s="8" t="s">
        <v>393</v>
      </c>
      <c r="C299" s="26">
        <v>363100</v>
      </c>
      <c r="D299" s="26">
        <v>310300</v>
      </c>
      <c r="E299" s="46" t="s">
        <v>2482</v>
      </c>
      <c r="F299" s="26">
        <v>52.689121999999998</v>
      </c>
      <c r="G299" s="26">
        <v>-2.5473501000000001</v>
      </c>
      <c r="H299" s="10" t="s">
        <v>1242</v>
      </c>
      <c r="I299" s="8" t="s">
        <v>1241</v>
      </c>
      <c r="J299" s="9">
        <v>120</v>
      </c>
      <c r="K299" s="11"/>
      <c r="L299" s="11"/>
      <c r="M299" s="8" t="s">
        <v>1244</v>
      </c>
      <c r="N299" s="8" t="s">
        <v>1243</v>
      </c>
      <c r="O299" s="11">
        <f>9508-4370</f>
        <v>5138</v>
      </c>
      <c r="P299" s="22">
        <v>16</v>
      </c>
      <c r="Q299" s="12">
        <f>P299/O299*1000</f>
        <v>3.1140521603736859</v>
      </c>
      <c r="R299" s="11"/>
      <c r="S299" s="8">
        <v>78</v>
      </c>
      <c r="T299" s="12">
        <f>S299/(O299/1000)</f>
        <v>15.181004281821721</v>
      </c>
      <c r="U299" s="11"/>
      <c r="V299" s="11" t="s">
        <v>594</v>
      </c>
      <c r="W299" s="11"/>
      <c r="X299" s="9"/>
      <c r="Y299" s="9"/>
      <c r="Z299" s="8" t="s">
        <v>1245</v>
      </c>
      <c r="AA299" s="9"/>
      <c r="AB299" s="9" t="s">
        <v>2347</v>
      </c>
      <c r="AC299" s="46" t="s">
        <v>2350</v>
      </c>
    </row>
    <row r="300" spans="1:29" ht="33.75" customHeight="1">
      <c r="A300" s="9"/>
      <c r="B300" s="8" t="s">
        <v>504</v>
      </c>
      <c r="C300" s="26">
        <v>362300</v>
      </c>
      <c r="D300" s="26">
        <v>417300</v>
      </c>
      <c r="E300" s="46" t="s">
        <v>2483</v>
      </c>
      <c r="F300" s="26">
        <v>53.650832000000001</v>
      </c>
      <c r="G300" s="26">
        <v>-2.5718361999999999</v>
      </c>
      <c r="H300" s="10" t="s">
        <v>1239</v>
      </c>
      <c r="I300" s="8" t="s">
        <v>1238</v>
      </c>
      <c r="J300" s="9">
        <v>200</v>
      </c>
      <c r="K300" s="11"/>
      <c r="L300" s="11"/>
      <c r="M300" s="8"/>
      <c r="N300" s="8"/>
      <c r="O300" s="11"/>
      <c r="P300" s="22">
        <v>0</v>
      </c>
      <c r="Q300" s="12"/>
      <c r="R300" s="11"/>
      <c r="S300" s="8">
        <v>10</v>
      </c>
      <c r="T300" s="12"/>
      <c r="U300" s="11"/>
      <c r="V300" s="11"/>
      <c r="W300" s="11"/>
      <c r="X300" s="9"/>
      <c r="Y300" s="9"/>
      <c r="Z300" s="8" t="s">
        <v>1240</v>
      </c>
      <c r="AA300" s="9"/>
      <c r="AB300" s="9" t="s">
        <v>2347</v>
      </c>
      <c r="AC300" s="46" t="s">
        <v>2350</v>
      </c>
    </row>
    <row r="301" spans="1:29" ht="33.75" customHeight="1">
      <c r="A301" s="9"/>
      <c r="B301" s="8" t="s">
        <v>504</v>
      </c>
      <c r="C301" s="40">
        <v>371160</v>
      </c>
      <c r="D301" s="40">
        <v>398160</v>
      </c>
      <c r="E301" s="46" t="s">
        <v>2484</v>
      </c>
      <c r="F301" s="40">
        <v>53.479367000000003</v>
      </c>
      <c r="G301" s="40">
        <v>-2.4360248000000002</v>
      </c>
      <c r="H301" s="10" t="s">
        <v>1669</v>
      </c>
      <c r="I301" s="8" t="s">
        <v>1664</v>
      </c>
      <c r="J301" s="9">
        <v>20</v>
      </c>
      <c r="K301" s="11">
        <v>1</v>
      </c>
      <c r="L301" s="11" t="s">
        <v>781</v>
      </c>
      <c r="M301" s="8" t="s">
        <v>1665</v>
      </c>
      <c r="N301" s="8"/>
      <c r="O301" s="11"/>
      <c r="P301" s="22">
        <v>1</v>
      </c>
      <c r="Q301" s="12"/>
      <c r="R301" s="11"/>
      <c r="S301" s="8">
        <v>21</v>
      </c>
      <c r="T301" s="12"/>
      <c r="U301" s="11"/>
      <c r="V301" s="11" t="s">
        <v>594</v>
      </c>
      <c r="W301" s="11"/>
      <c r="X301" s="9"/>
      <c r="Y301" s="9"/>
      <c r="Z301" s="8" t="s">
        <v>1672</v>
      </c>
      <c r="AA301" s="9"/>
      <c r="AB301" s="9" t="s">
        <v>2347</v>
      </c>
      <c r="AC301" s="46" t="s">
        <v>2350</v>
      </c>
    </row>
    <row r="302" spans="1:29" ht="33.75" customHeight="1">
      <c r="A302" s="9"/>
      <c r="B302" s="8" t="s">
        <v>504</v>
      </c>
      <c r="C302" s="40">
        <v>371160</v>
      </c>
      <c r="D302" s="40">
        <v>398060</v>
      </c>
      <c r="E302" s="46" t="s">
        <v>2484</v>
      </c>
      <c r="F302" s="40">
        <v>53.478467999999999</v>
      </c>
      <c r="G302" s="40">
        <v>-2.4360156000000002</v>
      </c>
      <c r="H302" s="10" t="s">
        <v>1670</v>
      </c>
      <c r="I302" s="8" t="s">
        <v>1664</v>
      </c>
      <c r="J302" s="9">
        <v>21</v>
      </c>
      <c r="K302" s="11">
        <v>2</v>
      </c>
      <c r="L302" s="11" t="s">
        <v>781</v>
      </c>
      <c r="M302" s="8" t="s">
        <v>1666</v>
      </c>
      <c r="N302" s="8"/>
      <c r="O302" s="11"/>
      <c r="P302" s="22">
        <v>1</v>
      </c>
      <c r="Q302" s="12"/>
      <c r="R302" s="11"/>
      <c r="S302" s="8">
        <v>17</v>
      </c>
      <c r="T302" s="12"/>
      <c r="U302" s="11"/>
      <c r="V302" s="11" t="s">
        <v>594</v>
      </c>
      <c r="W302" s="11"/>
      <c r="X302" s="9"/>
      <c r="Y302" s="9"/>
      <c r="Z302" s="8" t="s">
        <v>1672</v>
      </c>
      <c r="AA302" s="9"/>
      <c r="AB302" s="9" t="s">
        <v>2347</v>
      </c>
      <c r="AC302" s="46" t="s">
        <v>2350</v>
      </c>
    </row>
    <row r="303" spans="1:29" ht="33.75" customHeight="1">
      <c r="A303" s="9"/>
      <c r="B303" s="8" t="s">
        <v>504</v>
      </c>
      <c r="C303" s="40">
        <v>371140</v>
      </c>
      <c r="D303" s="40">
        <v>398300</v>
      </c>
      <c r="E303" s="46" t="s">
        <v>2484</v>
      </c>
      <c r="F303" s="40">
        <v>53.480623999999999</v>
      </c>
      <c r="G303" s="40">
        <v>-2.4363389999999998</v>
      </c>
      <c r="H303" s="10" t="s">
        <v>1671</v>
      </c>
      <c r="I303" s="8" t="s">
        <v>1664</v>
      </c>
      <c r="J303" s="9">
        <v>18</v>
      </c>
      <c r="K303" s="11">
        <v>3</v>
      </c>
      <c r="L303" s="11" t="s">
        <v>781</v>
      </c>
      <c r="M303" s="8" t="s">
        <v>1667</v>
      </c>
      <c r="N303" s="8" t="s">
        <v>1668</v>
      </c>
      <c r="O303" s="11">
        <f>4670-4570</f>
        <v>100</v>
      </c>
      <c r="P303" s="22">
        <v>2</v>
      </c>
      <c r="Q303" s="12"/>
      <c r="R303" s="11"/>
      <c r="S303" s="8">
        <v>21</v>
      </c>
      <c r="T303" s="12"/>
      <c r="U303" s="11"/>
      <c r="V303" s="11" t="s">
        <v>594</v>
      </c>
      <c r="W303" s="11"/>
      <c r="X303" s="9"/>
      <c r="Y303" s="9"/>
      <c r="Z303" s="8" t="s">
        <v>1672</v>
      </c>
      <c r="AA303" s="9"/>
      <c r="AB303" s="9" t="s">
        <v>2347</v>
      </c>
      <c r="AC303" s="46" t="s">
        <v>2350</v>
      </c>
    </row>
    <row r="304" spans="1:29" ht="33.75" customHeight="1">
      <c r="A304" s="9"/>
      <c r="B304" s="8" t="s">
        <v>504</v>
      </c>
      <c r="C304" s="26">
        <v>346500</v>
      </c>
      <c r="D304" s="26">
        <v>452200</v>
      </c>
      <c r="E304" s="46" t="s">
        <v>2016</v>
      </c>
      <c r="F304" s="26">
        <v>53.963099</v>
      </c>
      <c r="G304" s="26">
        <v>-2.8169279999999999</v>
      </c>
      <c r="H304" s="10" t="s">
        <v>1302</v>
      </c>
      <c r="I304" s="8" t="s">
        <v>1298</v>
      </c>
      <c r="J304" s="9">
        <v>5</v>
      </c>
      <c r="K304" s="9" t="s">
        <v>424</v>
      </c>
      <c r="L304" s="11"/>
      <c r="M304" s="8"/>
      <c r="N304" s="8"/>
      <c r="O304" s="11"/>
      <c r="P304" s="22">
        <v>0</v>
      </c>
      <c r="Q304" s="12"/>
      <c r="R304" s="11"/>
      <c r="S304" s="8">
        <v>38</v>
      </c>
      <c r="T304" s="12"/>
      <c r="U304" s="11" t="s">
        <v>1301</v>
      </c>
      <c r="V304" s="11" t="s">
        <v>594</v>
      </c>
      <c r="W304" s="11"/>
      <c r="X304" s="9"/>
      <c r="Y304" s="9"/>
      <c r="Z304" s="8" t="s">
        <v>1304</v>
      </c>
      <c r="AA304" s="9"/>
      <c r="AB304" s="9" t="s">
        <v>2347</v>
      </c>
      <c r="AC304" s="46" t="s">
        <v>2350</v>
      </c>
    </row>
    <row r="305" spans="1:29" ht="33.75" customHeight="1">
      <c r="A305" s="9"/>
      <c r="B305" s="8" t="s">
        <v>504</v>
      </c>
      <c r="C305" s="26">
        <v>340300</v>
      </c>
      <c r="D305" s="26">
        <v>448700</v>
      </c>
      <c r="E305" s="46" t="s">
        <v>2016</v>
      </c>
      <c r="F305" s="26">
        <v>53.930967000000003</v>
      </c>
      <c r="G305" s="26">
        <v>-2.9107292999999999</v>
      </c>
      <c r="H305" s="10" t="s">
        <v>1303</v>
      </c>
      <c r="I305" s="8" t="s">
        <v>1299</v>
      </c>
      <c r="J305" s="9">
        <v>5</v>
      </c>
      <c r="K305" s="9" t="s">
        <v>1300</v>
      </c>
      <c r="L305" s="11"/>
      <c r="M305" s="8"/>
      <c r="N305" s="8"/>
      <c r="O305" s="11"/>
      <c r="P305" s="22">
        <v>0</v>
      </c>
      <c r="Q305" s="12"/>
      <c r="R305" s="11"/>
      <c r="S305" s="8">
        <v>17</v>
      </c>
      <c r="T305" s="12"/>
      <c r="U305" s="11" t="s">
        <v>1301</v>
      </c>
      <c r="V305" s="11" t="s">
        <v>594</v>
      </c>
      <c r="W305" s="11"/>
      <c r="X305" s="9"/>
      <c r="Y305" s="9"/>
      <c r="Z305" s="8" t="s">
        <v>1304</v>
      </c>
      <c r="AA305" s="9"/>
      <c r="AB305" s="9" t="s">
        <v>2347</v>
      </c>
      <c r="AC305" s="46" t="s">
        <v>2350</v>
      </c>
    </row>
    <row r="306" spans="1:29" ht="33.75" customHeight="1">
      <c r="A306" s="11"/>
      <c r="B306" s="8" t="s">
        <v>108</v>
      </c>
      <c r="C306" s="26">
        <v>353100</v>
      </c>
      <c r="D306" s="26">
        <v>147300</v>
      </c>
      <c r="E306" s="46" t="s">
        <v>2486</v>
      </c>
      <c r="F306" s="26">
        <v>51.222956000000003</v>
      </c>
      <c r="G306" s="26">
        <v>-2.6729702</v>
      </c>
      <c r="H306" s="10" t="s">
        <v>1022</v>
      </c>
      <c r="I306" s="8" t="s">
        <v>1020</v>
      </c>
      <c r="J306" s="9">
        <v>50</v>
      </c>
      <c r="K306" s="11"/>
      <c r="L306" s="11"/>
      <c r="M306" s="8"/>
      <c r="N306" s="8"/>
      <c r="O306" s="11"/>
      <c r="P306" s="22">
        <v>0</v>
      </c>
      <c r="Q306" s="12"/>
      <c r="R306" s="11"/>
      <c r="S306" s="8">
        <v>7</v>
      </c>
      <c r="T306" s="12"/>
      <c r="U306" s="11" t="s">
        <v>1021</v>
      </c>
      <c r="V306" s="11" t="s">
        <v>594</v>
      </c>
      <c r="W306" s="11"/>
      <c r="X306" s="9"/>
      <c r="Y306" s="9"/>
      <c r="Z306" s="8" t="s">
        <v>1023</v>
      </c>
      <c r="AA306" s="9"/>
      <c r="AB306" s="9" t="s">
        <v>2347</v>
      </c>
      <c r="AC306" s="46" t="s">
        <v>2350</v>
      </c>
    </row>
    <row r="307" spans="1:29" ht="33.75" customHeight="1">
      <c r="A307" s="11">
        <v>29</v>
      </c>
      <c r="B307" s="8" t="s">
        <v>1741</v>
      </c>
      <c r="C307" s="26">
        <v>402147</v>
      </c>
      <c r="D307" s="26">
        <v>413356</v>
      </c>
      <c r="E307" s="46" t="s">
        <v>2485</v>
      </c>
      <c r="F307" s="26">
        <v>53.616745999999999</v>
      </c>
      <c r="G307" s="26">
        <v>-1.9690182000000001</v>
      </c>
      <c r="H307" s="10" t="s">
        <v>308</v>
      </c>
      <c r="I307" s="8" t="s">
        <v>103</v>
      </c>
      <c r="J307" s="9">
        <v>375</v>
      </c>
      <c r="K307" s="11" t="s">
        <v>102</v>
      </c>
      <c r="L307" s="11" t="s">
        <v>2</v>
      </c>
      <c r="M307" s="8" t="s">
        <v>1492</v>
      </c>
      <c r="N307" s="8" t="s">
        <v>1491</v>
      </c>
      <c r="O307" s="11">
        <v>972</v>
      </c>
      <c r="P307" s="22">
        <v>5</v>
      </c>
      <c r="Q307" s="12">
        <f>P307/O307*1000</f>
        <v>5.1440329218106999</v>
      </c>
      <c r="R307" s="11" t="s">
        <v>40</v>
      </c>
      <c r="S307" s="8">
        <v>28</v>
      </c>
      <c r="T307" s="12">
        <f>S307/(O307/1000)</f>
        <v>28.806584362139919</v>
      </c>
      <c r="U307" s="11"/>
      <c r="V307" s="11"/>
      <c r="W307" s="11" t="s">
        <v>101</v>
      </c>
      <c r="X307" s="9" t="s">
        <v>99</v>
      </c>
      <c r="Y307" s="9" t="s">
        <v>100</v>
      </c>
      <c r="Z307" s="8" t="s">
        <v>621</v>
      </c>
      <c r="AA307" s="9"/>
      <c r="AB307" s="9" t="s">
        <v>2347</v>
      </c>
      <c r="AC307" s="46" t="s">
        <v>2350</v>
      </c>
    </row>
    <row r="308" spans="1:29" ht="33.75" customHeight="1">
      <c r="A308" s="11"/>
      <c r="B308" s="8" t="s">
        <v>1741</v>
      </c>
      <c r="C308" s="9">
        <v>398800</v>
      </c>
      <c r="D308" s="9">
        <v>417300</v>
      </c>
      <c r="E308" s="46" t="s">
        <v>2487</v>
      </c>
      <c r="F308" s="9">
        <v>53.652197999999999</v>
      </c>
      <c r="G308" s="9">
        <v>-2.0196304</v>
      </c>
      <c r="H308" s="10" t="s">
        <v>661</v>
      </c>
      <c r="I308" s="8" t="s">
        <v>660</v>
      </c>
      <c r="J308" s="9">
        <v>410</v>
      </c>
      <c r="K308" s="11"/>
      <c r="L308" s="11" t="s">
        <v>2</v>
      </c>
      <c r="M308" s="8" t="s">
        <v>756</v>
      </c>
      <c r="N308" s="8" t="s">
        <v>757</v>
      </c>
      <c r="O308" s="11">
        <f>5940-1920</f>
        <v>4020</v>
      </c>
      <c r="P308" s="22">
        <v>4</v>
      </c>
      <c r="Q308" s="12">
        <f>P308/O308*1000</f>
        <v>0.99502487562189046</v>
      </c>
      <c r="R308" s="11" t="s">
        <v>40</v>
      </c>
      <c r="S308" s="8">
        <v>25</v>
      </c>
      <c r="T308" s="12">
        <f>S308/(O308/1000)</f>
        <v>6.2189054726368163</v>
      </c>
      <c r="U308" s="11" t="s">
        <v>6</v>
      </c>
      <c r="V308" s="11" t="s">
        <v>594</v>
      </c>
      <c r="W308" s="11" t="s">
        <v>664</v>
      </c>
      <c r="X308" s="9"/>
      <c r="Y308" s="9"/>
      <c r="Z308" s="8" t="s">
        <v>663</v>
      </c>
      <c r="AA308" s="9"/>
      <c r="AB308" s="9" t="s">
        <v>2347</v>
      </c>
      <c r="AC308" s="46" t="s">
        <v>2350</v>
      </c>
    </row>
    <row r="309" spans="1:29" ht="33.75" customHeight="1">
      <c r="A309" s="9"/>
      <c r="B309" s="8" t="s">
        <v>1741</v>
      </c>
      <c r="C309" s="26">
        <v>411500</v>
      </c>
      <c r="D309" s="26">
        <v>438600</v>
      </c>
      <c r="E309" s="46" t="s">
        <v>2488</v>
      </c>
      <c r="F309" s="26">
        <v>53.843519999999998</v>
      </c>
      <c r="G309" s="26">
        <v>-1.8267032000000001</v>
      </c>
      <c r="H309" s="10" t="s">
        <v>1230</v>
      </c>
      <c r="I309" s="8" t="s">
        <v>1228</v>
      </c>
      <c r="J309" s="9">
        <v>80</v>
      </c>
      <c r="K309" s="11"/>
      <c r="L309" s="11"/>
      <c r="M309" s="8"/>
      <c r="N309" s="8"/>
      <c r="O309" s="11"/>
      <c r="P309" s="22">
        <v>0</v>
      </c>
      <c r="Q309" s="12"/>
      <c r="R309" s="11"/>
      <c r="S309" s="8">
        <v>25</v>
      </c>
      <c r="T309" s="12"/>
      <c r="U309" s="11" t="s">
        <v>1229</v>
      </c>
      <c r="V309" s="11"/>
      <c r="W309" s="11"/>
      <c r="X309" s="9"/>
      <c r="Y309" s="9"/>
      <c r="Z309" s="8" t="s">
        <v>1231</v>
      </c>
      <c r="AA309" s="9"/>
      <c r="AB309" s="9" t="s">
        <v>2347</v>
      </c>
      <c r="AC309" s="46" t="s">
        <v>2350</v>
      </c>
    </row>
    <row r="310" spans="1:29" customFormat="1" ht="30.75" customHeight="1">
      <c r="A310" s="4"/>
      <c r="B310" s="8" t="s">
        <v>504</v>
      </c>
      <c r="C310" s="26">
        <v>363200</v>
      </c>
      <c r="D310" s="26">
        <v>410000</v>
      </c>
      <c r="E310" s="9" t="s">
        <v>1744</v>
      </c>
      <c r="F310" s="26"/>
      <c r="G310" s="26"/>
      <c r="H310" s="10" t="s">
        <v>1745</v>
      </c>
      <c r="I310" s="8" t="s">
        <v>1241</v>
      </c>
      <c r="J310" s="9">
        <v>110</v>
      </c>
      <c r="K310" s="11"/>
      <c r="L310" s="11"/>
      <c r="M310" s="8">
        <v>12160</v>
      </c>
      <c r="N310" s="8">
        <v>9800</v>
      </c>
      <c r="O310" s="11">
        <v>2360</v>
      </c>
      <c r="P310" s="22">
        <v>3</v>
      </c>
      <c r="Q310" s="12">
        <v>1.271186440677966</v>
      </c>
      <c r="R310" s="11" t="s">
        <v>237</v>
      </c>
      <c r="S310" s="8">
        <v>15</v>
      </c>
      <c r="T310" s="12">
        <v>6.3559322033898313</v>
      </c>
      <c r="U310" s="11"/>
      <c r="V310" s="11"/>
      <c r="W310" s="11"/>
      <c r="X310" s="9"/>
      <c r="Y310" s="9"/>
      <c r="Z310" s="8" t="s">
        <v>1746</v>
      </c>
      <c r="AB310" s="9" t="s">
        <v>2347</v>
      </c>
      <c r="AC310" s="46" t="s">
        <v>2350</v>
      </c>
    </row>
    <row r="311" spans="1:29" ht="33.75" customHeight="1">
      <c r="A311" s="9"/>
      <c r="B311" s="8" t="s">
        <v>1743</v>
      </c>
      <c r="C311" s="26">
        <v>375000</v>
      </c>
      <c r="D311" s="26">
        <v>477500</v>
      </c>
      <c r="E311" s="48" t="s">
        <v>2489</v>
      </c>
      <c r="F311" s="26">
        <v>54.192647999999998</v>
      </c>
      <c r="G311" s="26">
        <v>-2.3846495000000001</v>
      </c>
      <c r="H311" s="10" t="s">
        <v>793</v>
      </c>
      <c r="I311" s="8" t="s">
        <v>792</v>
      </c>
      <c r="J311" s="9">
        <v>305</v>
      </c>
      <c r="K311" s="11"/>
      <c r="L311" s="11" t="s">
        <v>2</v>
      </c>
      <c r="M311" s="8"/>
      <c r="N311" s="8"/>
      <c r="O311" s="11"/>
      <c r="P311" s="22">
        <v>0</v>
      </c>
      <c r="Q311" s="12"/>
      <c r="R311" s="11"/>
      <c r="S311" s="8">
        <v>16</v>
      </c>
      <c r="T311" s="12"/>
      <c r="U311" s="11" t="s">
        <v>794</v>
      </c>
      <c r="V311" s="11" t="s">
        <v>593</v>
      </c>
      <c r="W311" s="11"/>
      <c r="X311" s="9"/>
      <c r="Y311" s="9"/>
      <c r="Z311" s="8" t="s">
        <v>801</v>
      </c>
      <c r="AA311" s="9"/>
      <c r="AB311" s="9" t="s">
        <v>2347</v>
      </c>
      <c r="AC311" s="46" t="s">
        <v>2350</v>
      </c>
    </row>
    <row r="312" spans="1:29" ht="33.75" customHeight="1">
      <c r="A312" s="9"/>
      <c r="B312" s="8" t="s">
        <v>1743</v>
      </c>
      <c r="C312" s="26">
        <v>379200</v>
      </c>
      <c r="D312" s="26">
        <v>471000</v>
      </c>
      <c r="E312" s="48" t="s">
        <v>2489</v>
      </c>
      <c r="F312" s="26">
        <v>54.134419000000001</v>
      </c>
      <c r="G312" s="26">
        <v>-2.3198300999999999</v>
      </c>
      <c r="H312" s="10" t="s">
        <v>796</v>
      </c>
      <c r="I312" s="8" t="s">
        <v>795</v>
      </c>
      <c r="J312" s="9">
        <v>380</v>
      </c>
      <c r="K312" s="11"/>
      <c r="L312" s="11" t="s">
        <v>2</v>
      </c>
      <c r="M312" s="8"/>
      <c r="N312" s="8"/>
      <c r="O312" s="11"/>
      <c r="P312" s="22">
        <v>0</v>
      </c>
      <c r="Q312" s="12"/>
      <c r="R312" s="11"/>
      <c r="S312" s="8">
        <v>12</v>
      </c>
      <c r="T312" s="12"/>
      <c r="U312" s="11" t="s">
        <v>799</v>
      </c>
      <c r="V312" s="11" t="s">
        <v>593</v>
      </c>
      <c r="W312" s="11"/>
      <c r="X312" s="9"/>
      <c r="Y312" s="9"/>
      <c r="Z312" s="8" t="s">
        <v>801</v>
      </c>
      <c r="AA312" s="9"/>
      <c r="AB312" s="9" t="s">
        <v>2347</v>
      </c>
      <c r="AC312" s="46" t="s">
        <v>2350</v>
      </c>
    </row>
    <row r="313" spans="1:29" ht="33.75" customHeight="1">
      <c r="A313" s="9"/>
      <c r="B313" s="8" t="s">
        <v>1743</v>
      </c>
      <c r="C313" s="26">
        <v>377500</v>
      </c>
      <c r="D313" s="26">
        <v>477900</v>
      </c>
      <c r="E313" s="48" t="s">
        <v>2489</v>
      </c>
      <c r="F313" s="26">
        <v>54.196359000000001</v>
      </c>
      <c r="G313" s="26">
        <v>-2.3463652000000002</v>
      </c>
      <c r="H313" s="10" t="s">
        <v>798</v>
      </c>
      <c r="I313" s="8" t="s">
        <v>797</v>
      </c>
      <c r="J313" s="9">
        <v>305</v>
      </c>
      <c r="K313" s="11"/>
      <c r="L313" s="11" t="s">
        <v>2</v>
      </c>
      <c r="M313" s="8"/>
      <c r="N313" s="8"/>
      <c r="O313" s="11"/>
      <c r="P313" s="22">
        <v>0</v>
      </c>
      <c r="Q313" s="12"/>
      <c r="R313" s="11"/>
      <c r="S313" s="8">
        <v>10</v>
      </c>
      <c r="T313" s="12"/>
      <c r="U313" s="11" t="s">
        <v>800</v>
      </c>
      <c r="V313" s="11" t="s">
        <v>593</v>
      </c>
      <c r="W313" s="11"/>
      <c r="X313" s="9"/>
      <c r="Y313" s="9"/>
      <c r="Z313" s="8" t="s">
        <v>801</v>
      </c>
      <c r="AA313" s="9"/>
      <c r="AB313" s="9" t="s">
        <v>2347</v>
      </c>
      <c r="AC313" s="46" t="s">
        <v>2350</v>
      </c>
    </row>
    <row r="314" spans="1:29" ht="33.75" customHeight="1">
      <c r="A314" s="9"/>
      <c r="B314" s="8" t="s">
        <v>1743</v>
      </c>
      <c r="C314" s="26">
        <v>389300</v>
      </c>
      <c r="D314" s="26">
        <v>466600</v>
      </c>
      <c r="E314" s="46" t="s">
        <v>2490</v>
      </c>
      <c r="F314" s="26">
        <v>54.095185999999998</v>
      </c>
      <c r="G314" s="26">
        <v>-2.1650976000000002</v>
      </c>
      <c r="H314" s="10" t="s">
        <v>1459</v>
      </c>
      <c r="I314" s="8" t="s">
        <v>1015</v>
      </c>
      <c r="J314" s="9">
        <v>370</v>
      </c>
      <c r="K314" s="11"/>
      <c r="L314" s="11"/>
      <c r="M314" s="8"/>
      <c r="N314" s="8"/>
      <c r="O314" s="11"/>
      <c r="P314" s="22">
        <v>0</v>
      </c>
      <c r="Q314" s="12"/>
      <c r="R314" s="11"/>
      <c r="S314" s="8">
        <v>46</v>
      </c>
      <c r="T314" s="12"/>
      <c r="U314" s="11" t="s">
        <v>669</v>
      </c>
      <c r="V314" s="11" t="s">
        <v>594</v>
      </c>
      <c r="W314" s="11"/>
      <c r="X314" s="9"/>
      <c r="Y314" s="9"/>
      <c r="Z314" s="8" t="s">
        <v>1014</v>
      </c>
      <c r="AA314" s="9" t="s">
        <v>1016</v>
      </c>
      <c r="AB314" s="9" t="s">
        <v>2347</v>
      </c>
      <c r="AC314" s="46" t="s">
        <v>2350</v>
      </c>
    </row>
    <row r="315" spans="1:29" ht="33.75" customHeight="1">
      <c r="A315" s="9"/>
      <c r="B315" s="8" t="s">
        <v>1743</v>
      </c>
      <c r="C315" s="26">
        <v>389300</v>
      </c>
      <c r="D315" s="26">
        <v>466600</v>
      </c>
      <c r="E315" s="46" t="s">
        <v>2490</v>
      </c>
      <c r="F315" s="26">
        <v>54.095185999999998</v>
      </c>
      <c r="G315" s="26">
        <v>-2.1650976000000002</v>
      </c>
      <c r="H315" s="10" t="s">
        <v>1459</v>
      </c>
      <c r="I315" s="8" t="s">
        <v>1013</v>
      </c>
      <c r="J315" s="9">
        <v>370</v>
      </c>
      <c r="K315" s="11"/>
      <c r="L315" s="11"/>
      <c r="M315" s="8"/>
      <c r="N315" s="8"/>
      <c r="O315" s="11"/>
      <c r="P315" s="22">
        <v>0</v>
      </c>
      <c r="Q315" s="12"/>
      <c r="R315" s="11"/>
      <c r="S315" s="8">
        <v>20</v>
      </c>
      <c r="T315" s="12"/>
      <c r="U315" s="11" t="s">
        <v>669</v>
      </c>
      <c r="V315" s="11" t="s">
        <v>594</v>
      </c>
      <c r="W315" s="11"/>
      <c r="X315" s="9"/>
      <c r="Y315" s="9"/>
      <c r="Z315" s="8" t="s">
        <v>1014</v>
      </c>
      <c r="AA315" s="9" t="s">
        <v>1016</v>
      </c>
      <c r="AB315" s="9" t="s">
        <v>2347</v>
      </c>
      <c r="AC315" s="46" t="s">
        <v>2350</v>
      </c>
    </row>
    <row r="316" spans="1:29" ht="33.75" customHeight="1">
      <c r="A316" s="9">
        <v>49</v>
      </c>
      <c r="B316" s="8" t="s">
        <v>1741</v>
      </c>
      <c r="C316" s="26">
        <v>400450</v>
      </c>
      <c r="D316" s="26">
        <v>411500</v>
      </c>
      <c r="E316" s="46" t="s">
        <v>2450</v>
      </c>
      <c r="F316" s="26">
        <v>53.600067000000003</v>
      </c>
      <c r="G316" s="26">
        <v>-1.9946732</v>
      </c>
      <c r="H316" s="10" t="s">
        <v>327</v>
      </c>
      <c r="I316" s="8" t="s">
        <v>187</v>
      </c>
      <c r="J316" s="9">
        <v>445</v>
      </c>
      <c r="K316" s="11" t="s">
        <v>43</v>
      </c>
      <c r="L316" s="11" t="s">
        <v>2</v>
      </c>
      <c r="M316" s="8">
        <v>5080</v>
      </c>
      <c r="N316" s="8">
        <v>2620</v>
      </c>
      <c r="O316" s="11">
        <f>M316-N316</f>
        <v>2460</v>
      </c>
      <c r="P316" s="22">
        <v>2</v>
      </c>
      <c r="Q316" s="12">
        <f>P316/O316*1000</f>
        <v>0.81300813008130079</v>
      </c>
      <c r="R316" s="11" t="s">
        <v>40</v>
      </c>
      <c r="S316" s="8">
        <v>55</v>
      </c>
      <c r="T316" s="12">
        <f>S316/(O316/1000)</f>
        <v>22.357723577235774</v>
      </c>
      <c r="U316" s="11"/>
      <c r="V316" s="11"/>
      <c r="W316" s="11" t="s">
        <v>188</v>
      </c>
      <c r="X316" s="9" t="s">
        <v>189</v>
      </c>
      <c r="Y316" s="9" t="s">
        <v>100</v>
      </c>
      <c r="Z316" s="8" t="s">
        <v>190</v>
      </c>
      <c r="AA316" s="9"/>
      <c r="AB316" s="9" t="s">
        <v>2347</v>
      </c>
      <c r="AC316" s="46" t="s">
        <v>2350</v>
      </c>
    </row>
    <row r="317" spans="1:29" ht="33.75" customHeight="1">
      <c r="A317" s="9">
        <v>57</v>
      </c>
      <c r="B317" s="8" t="s">
        <v>504</v>
      </c>
      <c r="C317" s="9">
        <v>372602</v>
      </c>
      <c r="D317" s="9">
        <v>436685</v>
      </c>
      <c r="E317" s="46" t="s">
        <v>2491</v>
      </c>
      <c r="F317" s="9">
        <v>53.821187999999999</v>
      </c>
      <c r="G317" s="9">
        <v>-2.4252570000000002</v>
      </c>
      <c r="H317" s="10" t="s">
        <v>314</v>
      </c>
      <c r="I317" s="8" t="s">
        <v>229</v>
      </c>
      <c r="J317" s="9">
        <v>43</v>
      </c>
      <c r="K317" s="11" t="s">
        <v>228</v>
      </c>
      <c r="L317" s="11" t="s">
        <v>2</v>
      </c>
      <c r="M317" s="8">
        <v>1398</v>
      </c>
      <c r="N317" s="8">
        <v>1283</v>
      </c>
      <c r="O317" s="11">
        <f>M317-N317</f>
        <v>115</v>
      </c>
      <c r="P317" s="22">
        <v>4</v>
      </c>
      <c r="Q317" s="12">
        <f>P317/O317*1000</f>
        <v>34.782608695652172</v>
      </c>
      <c r="R317" s="11" t="s">
        <v>40</v>
      </c>
      <c r="S317" s="8">
        <v>8</v>
      </c>
      <c r="T317" s="12">
        <f>S317/(O317/1000)</f>
        <v>69.565217391304344</v>
      </c>
      <c r="U317" s="11"/>
      <c r="V317" s="11"/>
      <c r="W317" s="11" t="s">
        <v>230</v>
      </c>
      <c r="X317" s="9" t="s">
        <v>195</v>
      </c>
      <c r="Y317" s="9" t="s">
        <v>43</v>
      </c>
      <c r="Z317" s="8" t="s">
        <v>231</v>
      </c>
      <c r="AA317" s="9"/>
      <c r="AB317" s="9" t="s">
        <v>2347</v>
      </c>
      <c r="AC317" s="46" t="s">
        <v>2350</v>
      </c>
    </row>
    <row r="318" spans="1:29" ht="33.75" customHeight="1">
      <c r="A318" s="9">
        <v>70</v>
      </c>
      <c r="B318" s="8" t="s">
        <v>1747</v>
      </c>
      <c r="C318" s="9">
        <v>409600</v>
      </c>
      <c r="D318" s="9">
        <v>392600</v>
      </c>
      <c r="E318" s="46" t="s">
        <v>2492</v>
      </c>
      <c r="F318" s="9"/>
      <c r="G318" s="9"/>
      <c r="H318" s="10" t="s">
        <v>333</v>
      </c>
      <c r="I318" s="8" t="s">
        <v>331</v>
      </c>
      <c r="J318" s="9">
        <v>544</v>
      </c>
      <c r="K318" s="11" t="s">
        <v>329</v>
      </c>
      <c r="L318" s="11" t="s">
        <v>2</v>
      </c>
      <c r="M318" s="8">
        <v>5670</v>
      </c>
      <c r="N318" s="8">
        <v>3590</v>
      </c>
      <c r="O318" s="11">
        <f>M318-N318</f>
        <v>2080</v>
      </c>
      <c r="P318" s="22">
        <v>5</v>
      </c>
      <c r="Q318" s="12">
        <f>P318/O318*1000</f>
        <v>2.4038461538461542</v>
      </c>
      <c r="R318" s="11" t="s">
        <v>40</v>
      </c>
      <c r="S318" s="8">
        <v>45</v>
      </c>
      <c r="T318" s="12">
        <f>S318/(O318/1000)</f>
        <v>21.634615384615383</v>
      </c>
      <c r="U318" s="11"/>
      <c r="V318" s="11"/>
      <c r="W318" s="11" t="s">
        <v>335</v>
      </c>
      <c r="X318" s="9" t="s">
        <v>336</v>
      </c>
      <c r="Y318" s="9" t="s">
        <v>43</v>
      </c>
      <c r="Z318" s="8" t="s">
        <v>337</v>
      </c>
      <c r="AA318" s="9"/>
      <c r="AB318" s="9" t="s">
        <v>2347</v>
      </c>
      <c r="AC318" s="46" t="s">
        <v>2350</v>
      </c>
    </row>
    <row r="319" spans="1:29" ht="33.75" customHeight="1">
      <c r="A319" s="9">
        <v>70</v>
      </c>
      <c r="B319" s="8" t="s">
        <v>1747</v>
      </c>
      <c r="C319" s="9">
        <v>410100</v>
      </c>
      <c r="D319" s="9">
        <v>392600</v>
      </c>
      <c r="E319" s="46" t="s">
        <v>2492</v>
      </c>
      <c r="F319" s="9"/>
      <c r="G319" s="9"/>
      <c r="H319" s="10" t="s">
        <v>334</v>
      </c>
      <c r="I319" s="8" t="s">
        <v>332</v>
      </c>
      <c r="J319" s="9">
        <v>520</v>
      </c>
      <c r="K319" s="11" t="s">
        <v>330</v>
      </c>
      <c r="L319" s="11" t="s">
        <v>2</v>
      </c>
      <c r="M319" s="8">
        <v>5670</v>
      </c>
      <c r="N319" s="8">
        <v>3590</v>
      </c>
      <c r="O319" s="11">
        <f>M319-N319</f>
        <v>2080</v>
      </c>
      <c r="P319" s="22">
        <v>5</v>
      </c>
      <c r="Q319" s="12">
        <f>P319/O319*1000</f>
        <v>2.4038461538461542</v>
      </c>
      <c r="R319" s="11" t="s">
        <v>40</v>
      </c>
      <c r="S319" s="8">
        <v>50</v>
      </c>
      <c r="T319" s="12">
        <f>S319/(O319/1000)</f>
        <v>24.038461538461537</v>
      </c>
      <c r="U319" s="11"/>
      <c r="V319" s="11"/>
      <c r="W319" s="11" t="s">
        <v>335</v>
      </c>
      <c r="X319" s="9" t="s">
        <v>336</v>
      </c>
      <c r="Y319" s="9" t="s">
        <v>43</v>
      </c>
      <c r="Z319" s="8" t="s">
        <v>337</v>
      </c>
      <c r="AA319" s="9"/>
      <c r="AB319" s="9" t="s">
        <v>2347</v>
      </c>
      <c r="AC319" s="46" t="s">
        <v>2350</v>
      </c>
    </row>
    <row r="320" spans="1:29" ht="33.75" customHeight="1">
      <c r="A320" s="9">
        <v>71</v>
      </c>
      <c r="B320" s="8" t="s">
        <v>1747</v>
      </c>
      <c r="C320" s="9">
        <v>409600</v>
      </c>
      <c r="D320" s="9">
        <v>393300</v>
      </c>
      <c r="E320" s="46" t="s">
        <v>2493</v>
      </c>
      <c r="F320" s="9"/>
      <c r="G320" s="9"/>
      <c r="H320" s="10" t="s">
        <v>338</v>
      </c>
      <c r="I320" s="8" t="s">
        <v>328</v>
      </c>
      <c r="J320" s="9">
        <v>500</v>
      </c>
      <c r="K320" s="11" t="s">
        <v>43</v>
      </c>
      <c r="L320" s="11" t="s">
        <v>2</v>
      </c>
      <c r="M320" s="8">
        <v>2685</v>
      </c>
      <c r="N320" s="8">
        <v>491</v>
      </c>
      <c r="O320" s="11">
        <f>M320-N320</f>
        <v>2194</v>
      </c>
      <c r="P320" s="22">
        <v>7</v>
      </c>
      <c r="Q320" s="12">
        <f>P320/O320*1000</f>
        <v>3.1905195989061075</v>
      </c>
      <c r="R320" s="11" t="s">
        <v>40</v>
      </c>
      <c r="S320" s="8">
        <v>50</v>
      </c>
      <c r="T320" s="12">
        <f>S320/(O320/1000)</f>
        <v>22.789425706472198</v>
      </c>
      <c r="U320" s="11"/>
      <c r="V320" s="11"/>
      <c r="W320" s="11" t="s">
        <v>339</v>
      </c>
      <c r="X320" s="9" t="s">
        <v>336</v>
      </c>
      <c r="Y320" s="9" t="s">
        <v>43</v>
      </c>
      <c r="Z320" s="8" t="s">
        <v>340</v>
      </c>
      <c r="AA320" s="9"/>
      <c r="AB320" s="9" t="s">
        <v>2347</v>
      </c>
      <c r="AC320" s="46" t="s">
        <v>2350</v>
      </c>
    </row>
    <row r="321" spans="1:29" ht="33.75" customHeight="1">
      <c r="A321" s="9"/>
      <c r="B321" s="8" t="s">
        <v>533</v>
      </c>
      <c r="C321" s="26">
        <v>544300</v>
      </c>
      <c r="D321" s="26">
        <v>261100</v>
      </c>
      <c r="E321" s="46" t="s">
        <v>2494</v>
      </c>
      <c r="F321" s="26">
        <v>52.229199000000001</v>
      </c>
      <c r="G321" s="26">
        <v>0.11139441</v>
      </c>
      <c r="H321" s="10" t="s">
        <v>1463</v>
      </c>
      <c r="I321" s="8" t="s">
        <v>1195</v>
      </c>
      <c r="J321" s="9">
        <v>12.8</v>
      </c>
      <c r="K321" s="11"/>
      <c r="L321" s="11"/>
      <c r="M321" s="8"/>
      <c r="N321" s="8"/>
      <c r="O321" s="11"/>
      <c r="P321" s="22">
        <v>0</v>
      </c>
      <c r="Q321" s="12"/>
      <c r="R321" s="11"/>
      <c r="S321" s="8">
        <v>22</v>
      </c>
      <c r="T321" s="12"/>
      <c r="U321" s="11" t="s">
        <v>592</v>
      </c>
      <c r="V321" s="11"/>
      <c r="W321" s="11"/>
      <c r="X321" s="9"/>
      <c r="Y321" s="9"/>
      <c r="Z321" s="8" t="s">
        <v>1196</v>
      </c>
      <c r="AA321" s="9"/>
      <c r="AB321" s="9" t="s">
        <v>2347</v>
      </c>
      <c r="AC321" s="46" t="s">
        <v>2350</v>
      </c>
    </row>
    <row r="322" spans="1:29" ht="33.75" customHeight="1">
      <c r="A322" s="9"/>
      <c r="B322" s="8" t="s">
        <v>533</v>
      </c>
      <c r="C322" s="26">
        <v>555620</v>
      </c>
      <c r="D322" s="26">
        <v>284330</v>
      </c>
      <c r="E322" s="46" t="s">
        <v>2495</v>
      </c>
      <c r="F322" s="26">
        <v>52.434795000000001</v>
      </c>
      <c r="G322" s="26">
        <v>0.28774751999999998</v>
      </c>
      <c r="H322" s="10" t="s">
        <v>1025</v>
      </c>
      <c r="I322" s="8" t="s">
        <v>1024</v>
      </c>
      <c r="J322" s="9">
        <v>0</v>
      </c>
      <c r="K322" s="11" t="s">
        <v>1026</v>
      </c>
      <c r="L322" s="11" t="s">
        <v>40</v>
      </c>
      <c r="M322" s="8" t="s">
        <v>1027</v>
      </c>
      <c r="N322" s="8"/>
      <c r="O322" s="11"/>
      <c r="P322" s="22">
        <v>1</v>
      </c>
      <c r="Q322" s="12"/>
      <c r="R322" s="11"/>
      <c r="S322" s="8">
        <v>30</v>
      </c>
      <c r="T322" s="12"/>
      <c r="U322" s="11" t="s">
        <v>904</v>
      </c>
      <c r="V322" s="11" t="s">
        <v>594</v>
      </c>
      <c r="W322" s="11"/>
      <c r="X322" s="9"/>
      <c r="Y322" s="9"/>
      <c r="Z322" s="8" t="s">
        <v>1029</v>
      </c>
      <c r="AA322" s="9" t="s">
        <v>1028</v>
      </c>
      <c r="AB322" s="9" t="s">
        <v>2347</v>
      </c>
      <c r="AC322" s="46" t="s">
        <v>2350</v>
      </c>
    </row>
    <row r="323" spans="1:29" ht="33.75" customHeight="1">
      <c r="A323" s="11"/>
      <c r="B323" s="8" t="s">
        <v>533</v>
      </c>
      <c r="C323" s="26">
        <v>520000</v>
      </c>
      <c r="D323" s="26">
        <v>290000</v>
      </c>
      <c r="E323" s="50" t="s">
        <v>2457</v>
      </c>
      <c r="F323" s="26">
        <v>52.494717000000001</v>
      </c>
      <c r="G323" s="26">
        <v>-0.23387548999999999</v>
      </c>
      <c r="H323" s="10" t="s">
        <v>1417</v>
      </c>
      <c r="I323" s="8" t="s">
        <v>1248</v>
      </c>
      <c r="J323" s="11">
        <v>0</v>
      </c>
      <c r="K323" s="11"/>
      <c r="L323" s="11"/>
      <c r="M323" s="8"/>
      <c r="N323" s="8"/>
      <c r="O323" s="11"/>
      <c r="P323" s="22">
        <v>0</v>
      </c>
      <c r="Q323" s="12"/>
      <c r="R323" s="11"/>
      <c r="S323" s="8">
        <v>15</v>
      </c>
      <c r="T323" s="12"/>
      <c r="U323" s="11" t="s">
        <v>834</v>
      </c>
      <c r="V323" s="11"/>
      <c r="W323" s="11"/>
      <c r="X323" s="11"/>
      <c r="Y323" s="11"/>
      <c r="Z323" s="8" t="s">
        <v>1427</v>
      </c>
      <c r="AA323" s="9" t="s">
        <v>1422</v>
      </c>
      <c r="AB323" s="9" t="s">
        <v>2347</v>
      </c>
      <c r="AC323" s="46" t="s">
        <v>2350</v>
      </c>
    </row>
    <row r="324" spans="1:29" ht="33.75" customHeight="1">
      <c r="A324" s="11"/>
      <c r="B324" s="8" t="s">
        <v>533</v>
      </c>
      <c r="C324" s="26">
        <v>522000</v>
      </c>
      <c r="D324" s="26">
        <v>289000</v>
      </c>
      <c r="E324" s="50" t="s">
        <v>2457</v>
      </c>
      <c r="F324" s="26">
        <v>52.485287999999997</v>
      </c>
      <c r="G324" s="26">
        <v>-0.2047978</v>
      </c>
      <c r="H324" s="10" t="s">
        <v>1418</v>
      </c>
      <c r="I324" s="8" t="s">
        <v>1246</v>
      </c>
      <c r="J324" s="11">
        <v>5</v>
      </c>
      <c r="K324" s="11"/>
      <c r="L324" s="11"/>
      <c r="M324" s="8" t="s">
        <v>1425</v>
      </c>
      <c r="N324" s="8" t="s">
        <v>1426</v>
      </c>
      <c r="O324" s="11">
        <f>3415-3400</f>
        <v>15</v>
      </c>
      <c r="P324" s="22">
        <v>2</v>
      </c>
      <c r="Q324" s="12"/>
      <c r="R324" s="11"/>
      <c r="S324" s="8">
        <v>10</v>
      </c>
      <c r="T324" s="12"/>
      <c r="U324" s="11" t="s">
        <v>904</v>
      </c>
      <c r="V324" s="11"/>
      <c r="W324" s="11"/>
      <c r="X324" s="11"/>
      <c r="Y324" s="11"/>
      <c r="Z324" s="8" t="s">
        <v>1427</v>
      </c>
      <c r="AA324" s="9" t="s">
        <v>1422</v>
      </c>
      <c r="AB324" s="9" t="s">
        <v>2347</v>
      </c>
      <c r="AC324" s="46" t="s">
        <v>2350</v>
      </c>
    </row>
    <row r="325" spans="1:29" ht="33.75" customHeight="1">
      <c r="A325" s="11"/>
      <c r="B325" s="8" t="s">
        <v>533</v>
      </c>
      <c r="C325" s="26">
        <v>540500</v>
      </c>
      <c r="D325" s="26">
        <v>286500</v>
      </c>
      <c r="E325" s="50" t="s">
        <v>2496</v>
      </c>
      <c r="F325" s="26">
        <v>52.458382999999998</v>
      </c>
      <c r="G325" s="26">
        <v>6.6409695000000005E-2</v>
      </c>
      <c r="H325" s="38" t="s">
        <v>1622</v>
      </c>
      <c r="I325" s="8" t="s">
        <v>1615</v>
      </c>
      <c r="J325" s="11">
        <v>1</v>
      </c>
      <c r="K325" s="11"/>
      <c r="L325" s="11"/>
      <c r="M325" s="8"/>
      <c r="N325" s="8"/>
      <c r="O325" s="11"/>
      <c r="P325" s="22">
        <v>0</v>
      </c>
      <c r="Q325" s="12"/>
      <c r="R325" s="11"/>
      <c r="S325" s="8">
        <v>14</v>
      </c>
      <c r="T325" s="12"/>
      <c r="U325" s="11"/>
      <c r="V325" s="11"/>
      <c r="W325" s="11"/>
      <c r="X325" s="11"/>
      <c r="Y325" s="11"/>
      <c r="Z325" s="8" t="s">
        <v>1623</v>
      </c>
      <c r="AA325" s="11"/>
      <c r="AB325" s="9" t="s">
        <v>2347</v>
      </c>
      <c r="AC325" s="46" t="s">
        <v>2350</v>
      </c>
    </row>
    <row r="326" spans="1:29" ht="33.75" customHeight="1">
      <c r="A326" s="11"/>
      <c r="B326" s="8" t="s">
        <v>533</v>
      </c>
      <c r="C326" s="26">
        <v>543500</v>
      </c>
      <c r="D326" s="26">
        <v>290800</v>
      </c>
      <c r="E326" s="50" t="s">
        <v>2496</v>
      </c>
      <c r="F326" s="26">
        <v>52.496234000000001</v>
      </c>
      <c r="G326" s="26">
        <v>0.11238033</v>
      </c>
      <c r="H326" s="38" t="s">
        <v>1621</v>
      </c>
      <c r="I326" s="8" t="s">
        <v>1616</v>
      </c>
      <c r="J326" s="11">
        <v>1</v>
      </c>
      <c r="K326" s="11"/>
      <c r="L326" s="11"/>
      <c r="M326" s="8"/>
      <c r="N326" s="8"/>
      <c r="O326" s="11"/>
      <c r="P326" s="22">
        <v>0</v>
      </c>
      <c r="Q326" s="12"/>
      <c r="R326" s="11"/>
      <c r="S326" s="8">
        <v>6</v>
      </c>
      <c r="T326" s="12"/>
      <c r="U326" s="11" t="s">
        <v>1618</v>
      </c>
      <c r="V326" s="11"/>
      <c r="W326" s="11"/>
      <c r="X326" s="11"/>
      <c r="Y326" s="11"/>
      <c r="Z326" s="8" t="s">
        <v>1623</v>
      </c>
      <c r="AA326" s="11"/>
      <c r="AB326" s="9" t="s">
        <v>2347</v>
      </c>
      <c r="AC326" s="46" t="s">
        <v>2350</v>
      </c>
    </row>
    <row r="327" spans="1:29" ht="33.75" customHeight="1">
      <c r="A327" s="11"/>
      <c r="B327" s="8" t="s">
        <v>533</v>
      </c>
      <c r="C327" s="26">
        <v>541700</v>
      </c>
      <c r="D327" s="26">
        <v>295200</v>
      </c>
      <c r="E327" s="50" t="s">
        <v>2496</v>
      </c>
      <c r="F327" s="26">
        <v>52.536234</v>
      </c>
      <c r="G327" s="26">
        <v>8.7758175999999993E-2</v>
      </c>
      <c r="H327" s="38" t="s">
        <v>1620</v>
      </c>
      <c r="I327" s="8" t="s">
        <v>1617</v>
      </c>
      <c r="J327" s="11">
        <v>1</v>
      </c>
      <c r="K327" s="11"/>
      <c r="L327" s="11"/>
      <c r="M327" s="8"/>
      <c r="N327" s="8"/>
      <c r="O327" s="11"/>
      <c r="P327" s="22">
        <v>0</v>
      </c>
      <c r="Q327" s="12"/>
      <c r="R327" s="11"/>
      <c r="S327" s="8">
        <v>6</v>
      </c>
      <c r="T327" s="12"/>
      <c r="U327" s="11" t="s">
        <v>1619</v>
      </c>
      <c r="V327" s="11"/>
      <c r="W327" s="11"/>
      <c r="X327" s="11"/>
      <c r="Y327" s="11"/>
      <c r="Z327" s="8" t="s">
        <v>1623</v>
      </c>
      <c r="AA327" s="11"/>
      <c r="AB327" s="9" t="s">
        <v>2347</v>
      </c>
      <c r="AC327" s="46" t="s">
        <v>2350</v>
      </c>
    </row>
    <row r="328" spans="1:29" ht="33.75" customHeight="1">
      <c r="A328" s="9"/>
      <c r="B328" s="8" t="s">
        <v>533</v>
      </c>
      <c r="C328" s="26">
        <v>520500</v>
      </c>
      <c r="D328" s="26">
        <v>289300</v>
      </c>
      <c r="E328" s="46" t="s">
        <v>2497</v>
      </c>
      <c r="F328" s="26">
        <v>52.488317000000002</v>
      </c>
      <c r="G328" s="26">
        <v>-0.22676755000000001</v>
      </c>
      <c r="H328" s="26" t="s">
        <v>1253</v>
      </c>
      <c r="I328" s="8" t="s">
        <v>1246</v>
      </c>
      <c r="J328" s="9">
        <v>0</v>
      </c>
      <c r="K328" s="11" t="s">
        <v>1247</v>
      </c>
      <c r="L328" s="11"/>
      <c r="M328" s="8"/>
      <c r="N328" s="8"/>
      <c r="O328" s="11"/>
      <c r="P328" s="22">
        <v>0</v>
      </c>
      <c r="Q328" s="12"/>
      <c r="R328" s="11"/>
      <c r="S328" s="8">
        <v>50</v>
      </c>
      <c r="T328" s="12"/>
      <c r="U328" s="11" t="s">
        <v>1252</v>
      </c>
      <c r="V328" s="11" t="s">
        <v>594</v>
      </c>
      <c r="W328" s="11"/>
      <c r="X328" s="9"/>
      <c r="Y328" s="9"/>
      <c r="Z328" s="8" t="s">
        <v>1250</v>
      </c>
      <c r="AA328" s="9" t="s">
        <v>1255</v>
      </c>
      <c r="AB328" s="9" t="s">
        <v>2347</v>
      </c>
      <c r="AC328" s="46" t="s">
        <v>2350</v>
      </c>
    </row>
    <row r="329" spans="1:29" ht="33.75" customHeight="1">
      <c r="A329" s="9"/>
      <c r="B329" s="8" t="s">
        <v>533</v>
      </c>
      <c r="C329" s="26">
        <v>518000</v>
      </c>
      <c r="D329" s="26">
        <v>290000</v>
      </c>
      <c r="E329" s="46" t="s">
        <v>2497</v>
      </c>
      <c r="F329" s="26">
        <v>52.495153000000002</v>
      </c>
      <c r="G329" s="26">
        <v>-0.26331989</v>
      </c>
      <c r="H329" s="10" t="s">
        <v>1254</v>
      </c>
      <c r="I329" s="8" t="s">
        <v>1248</v>
      </c>
      <c r="J329" s="9">
        <v>0</v>
      </c>
      <c r="K329" s="11" t="s">
        <v>1249</v>
      </c>
      <c r="L329" s="11"/>
      <c r="M329" s="8"/>
      <c r="N329" s="8"/>
      <c r="O329" s="11"/>
      <c r="P329" s="22">
        <v>0</v>
      </c>
      <c r="Q329" s="12"/>
      <c r="R329" s="11"/>
      <c r="S329" s="8">
        <v>75</v>
      </c>
      <c r="T329" s="12"/>
      <c r="U329" s="11" t="s">
        <v>1252</v>
      </c>
      <c r="V329" s="11" t="s">
        <v>594</v>
      </c>
      <c r="W329" s="11"/>
      <c r="X329" s="9"/>
      <c r="Y329" s="9"/>
      <c r="Z329" s="8" t="s">
        <v>1250</v>
      </c>
      <c r="AA329" s="9" t="s">
        <v>1414</v>
      </c>
      <c r="AB329" s="9" t="s">
        <v>2347</v>
      </c>
      <c r="AC329" s="46" t="s">
        <v>2350</v>
      </c>
    </row>
    <row r="330" spans="1:29" ht="33.75" customHeight="1">
      <c r="A330" s="9"/>
      <c r="B330" s="8" t="s">
        <v>533</v>
      </c>
      <c r="C330" s="26">
        <v>521709</v>
      </c>
      <c r="D330" s="26">
        <v>290709</v>
      </c>
      <c r="E330" s="46" t="s">
        <v>2497</v>
      </c>
      <c r="F330" s="26">
        <v>52.500709000000001</v>
      </c>
      <c r="G330" s="26">
        <v>-0.20845688000000001</v>
      </c>
      <c r="H330" s="10" t="s">
        <v>1257</v>
      </c>
      <c r="I330" s="8" t="s">
        <v>1251</v>
      </c>
      <c r="J330" s="9">
        <v>0</v>
      </c>
      <c r="K330" s="11"/>
      <c r="L330" s="11"/>
      <c r="M330" s="8"/>
      <c r="N330" s="8"/>
      <c r="O330" s="11"/>
      <c r="P330" s="22">
        <v>0</v>
      </c>
      <c r="Q330" s="12"/>
      <c r="R330" s="11"/>
      <c r="S330" s="8">
        <v>12</v>
      </c>
      <c r="T330" s="12"/>
      <c r="U330" s="15" t="s">
        <v>1252</v>
      </c>
      <c r="V330" s="11" t="s">
        <v>594</v>
      </c>
      <c r="W330" s="11"/>
      <c r="X330" s="9"/>
      <c r="Y330" s="9"/>
      <c r="Z330" s="14" t="s">
        <v>1250</v>
      </c>
      <c r="AA330" s="9"/>
      <c r="AB330" s="9" t="s">
        <v>2347</v>
      </c>
      <c r="AC330" s="46" t="s">
        <v>2350</v>
      </c>
    </row>
    <row r="331" spans="1:29" ht="33.75" customHeight="1">
      <c r="A331" s="11"/>
      <c r="B331" s="8" t="s">
        <v>533</v>
      </c>
      <c r="C331" s="26">
        <v>522700</v>
      </c>
      <c r="D331" s="26">
        <v>298900</v>
      </c>
      <c r="E331" s="46" t="s">
        <v>2499</v>
      </c>
      <c r="F331" s="26">
        <v>52.574086999999999</v>
      </c>
      <c r="G331" s="26">
        <v>-0.19084248000000001</v>
      </c>
      <c r="H331" s="10" t="s">
        <v>1288</v>
      </c>
      <c r="I331" s="8" t="s">
        <v>1287</v>
      </c>
      <c r="J331" s="9">
        <v>1</v>
      </c>
      <c r="K331" s="11"/>
      <c r="L331" s="11" t="s">
        <v>1289</v>
      </c>
      <c r="M331" s="8"/>
      <c r="N331" s="8"/>
      <c r="O331" s="11"/>
      <c r="P331" s="22">
        <v>0</v>
      </c>
      <c r="Q331" s="12"/>
      <c r="R331" s="11" t="s">
        <v>40</v>
      </c>
      <c r="S331" s="8">
        <v>25</v>
      </c>
      <c r="T331" s="12"/>
      <c r="U331" s="11" t="s">
        <v>6</v>
      </c>
      <c r="V331" s="11" t="s">
        <v>594</v>
      </c>
      <c r="W331" s="11"/>
      <c r="X331" s="9"/>
      <c r="Y331" s="9"/>
      <c r="Z331" s="8" t="s">
        <v>1290</v>
      </c>
      <c r="AA331" s="9"/>
      <c r="AB331" s="9" t="s">
        <v>2347</v>
      </c>
      <c r="AC331" s="46" t="s">
        <v>2350</v>
      </c>
    </row>
    <row r="332" spans="1:29" ht="33.75" customHeight="1">
      <c r="A332" s="35"/>
      <c r="B332" s="25" t="s">
        <v>109</v>
      </c>
      <c r="C332" s="26">
        <v>323800</v>
      </c>
      <c r="D332" s="26">
        <v>560300</v>
      </c>
      <c r="E332" s="51" t="s">
        <v>2498</v>
      </c>
      <c r="F332" s="26">
        <v>54.931536000000001</v>
      </c>
      <c r="G332" s="26">
        <v>-3.1907103000000001</v>
      </c>
      <c r="H332" s="27" t="s">
        <v>1089</v>
      </c>
      <c r="I332" s="8" t="s">
        <v>487</v>
      </c>
      <c r="J332" s="26">
        <v>10</v>
      </c>
      <c r="K332" s="9"/>
      <c r="L332" s="11"/>
      <c r="M332" s="25" t="s">
        <v>1094</v>
      </c>
      <c r="N332" s="25" t="s">
        <v>1093</v>
      </c>
      <c r="O332" s="28">
        <f>2215-960</f>
        <v>1255</v>
      </c>
      <c r="P332" s="29">
        <v>3</v>
      </c>
      <c r="Q332" s="12">
        <f>P332/O332*1000</f>
        <v>2.3904382470119518</v>
      </c>
      <c r="R332" s="26"/>
      <c r="S332" s="25">
        <v>30</v>
      </c>
      <c r="T332" s="12">
        <f>S332/(O332/1000)</f>
        <v>23.904382470119526</v>
      </c>
      <c r="U332" s="28" t="s">
        <v>1071</v>
      </c>
      <c r="V332" s="28"/>
      <c r="W332" s="9"/>
      <c r="X332" s="9"/>
      <c r="Y332" s="26"/>
      <c r="Z332" s="58" t="s">
        <v>1097</v>
      </c>
      <c r="AA332" s="26"/>
      <c r="AB332" s="9" t="s">
        <v>2347</v>
      </c>
      <c r="AC332" s="46" t="s">
        <v>2350</v>
      </c>
    </row>
    <row r="333" spans="1:29" ht="33.75" customHeight="1">
      <c r="A333" s="11"/>
      <c r="B333" s="8" t="s">
        <v>109</v>
      </c>
      <c r="C333" s="40">
        <v>353700</v>
      </c>
      <c r="D333" s="40">
        <v>486600</v>
      </c>
      <c r="E333" s="46" t="s">
        <v>2500</v>
      </c>
      <c r="F333" s="40">
        <v>54.272941000000003</v>
      </c>
      <c r="G333" s="40">
        <v>-2.7124809999999999</v>
      </c>
      <c r="H333" s="10" t="s">
        <v>1674</v>
      </c>
      <c r="I333" s="8" t="s">
        <v>1673</v>
      </c>
      <c r="J333" s="9">
        <v>90</v>
      </c>
      <c r="K333" s="11"/>
      <c r="L333" s="11"/>
      <c r="M333" s="8"/>
      <c r="N333" s="8"/>
      <c r="O333" s="11"/>
      <c r="P333" s="22">
        <v>0</v>
      </c>
      <c r="Q333" s="12"/>
      <c r="R333" s="11"/>
      <c r="S333" s="8">
        <v>5</v>
      </c>
      <c r="T333" s="12"/>
      <c r="U333" s="11"/>
      <c r="V333" s="11" t="s">
        <v>593</v>
      </c>
      <c r="W333" s="11"/>
      <c r="X333" s="9"/>
      <c r="Y333" s="9"/>
      <c r="Z333" s="8" t="s">
        <v>1721</v>
      </c>
      <c r="AA333" s="9"/>
      <c r="AB333" s="9" t="s">
        <v>2347</v>
      </c>
      <c r="AC333" s="46" t="s">
        <v>2350</v>
      </c>
    </row>
    <row r="334" spans="1:29" ht="33.75" customHeight="1">
      <c r="A334" s="9"/>
      <c r="B334" s="8" t="s">
        <v>109</v>
      </c>
      <c r="C334" s="40">
        <v>354800</v>
      </c>
      <c r="D334" s="40">
        <v>497100</v>
      </c>
      <c r="E334" s="46" t="s">
        <v>2500</v>
      </c>
      <c r="F334" s="40">
        <v>54.367398000000001</v>
      </c>
      <c r="G334" s="40">
        <v>-2.6971851</v>
      </c>
      <c r="H334" s="10" t="s">
        <v>1676</v>
      </c>
      <c r="I334" s="8" t="s">
        <v>1675</v>
      </c>
      <c r="J334" s="9">
        <v>160</v>
      </c>
      <c r="K334" s="11"/>
      <c r="L334" s="11"/>
      <c r="M334" s="8"/>
      <c r="N334" s="8"/>
      <c r="O334" s="11"/>
      <c r="P334" s="22">
        <v>0</v>
      </c>
      <c r="Q334" s="12"/>
      <c r="R334" s="11"/>
      <c r="S334" s="8">
        <v>3</v>
      </c>
      <c r="T334" s="12"/>
      <c r="U334" s="11"/>
      <c r="V334" s="11" t="s">
        <v>593</v>
      </c>
      <c r="W334" s="11"/>
      <c r="X334" s="9"/>
      <c r="Y334" s="9"/>
      <c r="Z334" s="8" t="s">
        <v>1721</v>
      </c>
      <c r="AA334" s="9"/>
      <c r="AB334" s="9" t="s">
        <v>2347</v>
      </c>
      <c r="AC334" s="46" t="s">
        <v>2350</v>
      </c>
    </row>
    <row r="335" spans="1:29" s="30" customFormat="1" ht="33.75" customHeight="1">
      <c r="A335" s="9"/>
      <c r="B335" s="8" t="s">
        <v>109</v>
      </c>
      <c r="C335" s="40">
        <v>325500</v>
      </c>
      <c r="D335" s="40">
        <v>485900</v>
      </c>
      <c r="E335" s="46" t="s">
        <v>2500</v>
      </c>
      <c r="F335" s="40">
        <v>54.263314999999999</v>
      </c>
      <c r="G335" s="40">
        <v>-3.1452662</v>
      </c>
      <c r="H335" s="10" t="s">
        <v>1678</v>
      </c>
      <c r="I335" s="8" t="s">
        <v>1677</v>
      </c>
      <c r="J335" s="9">
        <v>161</v>
      </c>
      <c r="K335" s="11"/>
      <c r="L335" s="11"/>
      <c r="M335" s="8"/>
      <c r="N335" s="8"/>
      <c r="O335" s="11"/>
      <c r="P335" s="22">
        <v>0</v>
      </c>
      <c r="Q335" s="12"/>
      <c r="R335" s="11"/>
      <c r="S335" s="8">
        <v>10</v>
      </c>
      <c r="T335" s="12"/>
      <c r="U335" s="11"/>
      <c r="V335" s="11" t="s">
        <v>593</v>
      </c>
      <c r="W335" s="11"/>
      <c r="X335" s="9"/>
      <c r="Y335" s="9"/>
      <c r="Z335" s="8" t="s">
        <v>1721</v>
      </c>
      <c r="AA335" s="9"/>
      <c r="AB335" s="9" t="s">
        <v>2347</v>
      </c>
      <c r="AC335" s="46" t="s">
        <v>2350</v>
      </c>
    </row>
    <row r="336" spans="1:29" s="30" customFormat="1" ht="33.75" customHeight="1">
      <c r="A336" s="9"/>
      <c r="B336" s="8" t="s">
        <v>109</v>
      </c>
      <c r="C336" s="40">
        <v>323600</v>
      </c>
      <c r="D336" s="40">
        <v>527200</v>
      </c>
      <c r="E336" s="46" t="s">
        <v>2500</v>
      </c>
      <c r="F336" s="40">
        <v>54.634117000000003</v>
      </c>
      <c r="G336" s="40">
        <v>-3.1851007999999998</v>
      </c>
      <c r="H336" s="10" t="s">
        <v>1680</v>
      </c>
      <c r="I336" s="8" t="s">
        <v>1679</v>
      </c>
      <c r="J336" s="9">
        <v>90</v>
      </c>
      <c r="K336" s="11"/>
      <c r="L336" s="11"/>
      <c r="M336" s="8"/>
      <c r="N336" s="8"/>
      <c r="O336" s="11"/>
      <c r="P336" s="22">
        <v>0</v>
      </c>
      <c r="Q336" s="12"/>
      <c r="R336" s="11"/>
      <c r="S336" s="8">
        <v>5</v>
      </c>
      <c r="T336" s="12"/>
      <c r="U336" s="11"/>
      <c r="V336" s="11" t="s">
        <v>593</v>
      </c>
      <c r="W336" s="11"/>
      <c r="X336" s="9"/>
      <c r="Y336" s="9"/>
      <c r="Z336" s="8" t="s">
        <v>1721</v>
      </c>
      <c r="AA336" s="9"/>
      <c r="AB336" s="9" t="s">
        <v>2347</v>
      </c>
      <c r="AC336" s="46" t="s">
        <v>2350</v>
      </c>
    </row>
    <row r="337" spans="1:29" s="30" customFormat="1" ht="33.75" customHeight="1">
      <c r="A337" s="9"/>
      <c r="B337" s="8" t="s">
        <v>109</v>
      </c>
      <c r="C337" s="40">
        <v>328800</v>
      </c>
      <c r="D337" s="40">
        <v>490500</v>
      </c>
      <c r="E337" s="46" t="s">
        <v>2500</v>
      </c>
      <c r="F337" s="40">
        <v>54.305118999999998</v>
      </c>
      <c r="G337" s="40">
        <v>-3.09571</v>
      </c>
      <c r="H337" s="10" t="s">
        <v>1682</v>
      </c>
      <c r="I337" s="8" t="s">
        <v>1681</v>
      </c>
      <c r="J337" s="9">
        <v>49</v>
      </c>
      <c r="K337" s="11"/>
      <c r="L337" s="11"/>
      <c r="M337" s="8"/>
      <c r="N337" s="8"/>
      <c r="O337" s="11"/>
      <c r="P337" s="22">
        <v>0</v>
      </c>
      <c r="Q337" s="12"/>
      <c r="R337" s="11"/>
      <c r="S337" s="8">
        <v>11</v>
      </c>
      <c r="T337" s="12"/>
      <c r="U337" s="11"/>
      <c r="V337" s="11" t="s">
        <v>593</v>
      </c>
      <c r="W337" s="11"/>
      <c r="X337" s="9"/>
      <c r="Y337" s="9"/>
      <c r="Z337" s="8" t="s">
        <v>1721</v>
      </c>
      <c r="AA337" s="9"/>
      <c r="AB337" s="9" t="s">
        <v>2347</v>
      </c>
      <c r="AC337" s="46" t="s">
        <v>2350</v>
      </c>
    </row>
    <row r="338" spans="1:29" ht="33.75" customHeight="1">
      <c r="A338" s="9"/>
      <c r="B338" s="8" t="s">
        <v>109</v>
      </c>
      <c r="C338" s="40">
        <v>344800</v>
      </c>
      <c r="D338" s="40">
        <v>494400</v>
      </c>
      <c r="E338" s="46" t="s">
        <v>2500</v>
      </c>
      <c r="F338" s="40">
        <v>54.342148000000002</v>
      </c>
      <c r="G338" s="40">
        <v>-2.8505780000000001</v>
      </c>
      <c r="H338" s="10" t="s">
        <v>1684</v>
      </c>
      <c r="I338" s="8" t="s">
        <v>1683</v>
      </c>
      <c r="J338" s="9">
        <v>130</v>
      </c>
      <c r="K338" s="11"/>
      <c r="L338" s="11"/>
      <c r="M338" s="8"/>
      <c r="N338" s="8"/>
      <c r="O338" s="11"/>
      <c r="P338" s="22">
        <v>0</v>
      </c>
      <c r="Q338" s="12"/>
      <c r="R338" s="11"/>
      <c r="S338" s="8">
        <v>8</v>
      </c>
      <c r="T338" s="12"/>
      <c r="U338" s="11"/>
      <c r="V338" s="11" t="s">
        <v>593</v>
      </c>
      <c r="W338" s="11"/>
      <c r="X338" s="9"/>
      <c r="Y338" s="9"/>
      <c r="Z338" s="8" t="s">
        <v>1721</v>
      </c>
      <c r="AA338" s="9"/>
      <c r="AB338" s="9" t="s">
        <v>2347</v>
      </c>
      <c r="AC338" s="46" t="s">
        <v>2350</v>
      </c>
    </row>
    <row r="339" spans="1:29" ht="33.75" customHeight="1">
      <c r="A339" s="9"/>
      <c r="B339" s="8" t="s">
        <v>109</v>
      </c>
      <c r="C339" s="40">
        <v>326200</v>
      </c>
      <c r="D339" s="40">
        <v>518900</v>
      </c>
      <c r="E339" s="46" t="s">
        <v>2500</v>
      </c>
      <c r="F339" s="40">
        <v>54.559930000000001</v>
      </c>
      <c r="G339" s="40">
        <v>-3.1427402</v>
      </c>
      <c r="H339" s="10" t="s">
        <v>1686</v>
      </c>
      <c r="I339" s="8" t="s">
        <v>1685</v>
      </c>
      <c r="J339" s="9">
        <v>85</v>
      </c>
      <c r="K339" s="11"/>
      <c r="L339" s="11"/>
      <c r="M339" s="8"/>
      <c r="N339" s="8"/>
      <c r="O339" s="11"/>
      <c r="P339" s="22">
        <v>0</v>
      </c>
      <c r="Q339" s="12"/>
      <c r="R339" s="11"/>
      <c r="S339" s="8">
        <v>7</v>
      </c>
      <c r="T339" s="12"/>
      <c r="U339" s="11"/>
      <c r="V339" s="11" t="s">
        <v>593</v>
      </c>
      <c r="W339" s="11"/>
      <c r="X339" s="9"/>
      <c r="Y339" s="9"/>
      <c r="Z339" s="8" t="s">
        <v>1721</v>
      </c>
      <c r="AA339" s="9"/>
      <c r="AB339" s="9" t="s">
        <v>2347</v>
      </c>
      <c r="AC339" s="46" t="s">
        <v>2350</v>
      </c>
    </row>
    <row r="340" spans="1:29" s="30" customFormat="1" ht="33.75" customHeight="1">
      <c r="A340" s="9"/>
      <c r="B340" s="8" t="s">
        <v>109</v>
      </c>
      <c r="C340" s="40">
        <v>310300</v>
      </c>
      <c r="D340" s="40">
        <v>529300</v>
      </c>
      <c r="E340" s="46" t="s">
        <v>2500</v>
      </c>
      <c r="F340" s="40">
        <v>54.650792000000003</v>
      </c>
      <c r="G340" s="40">
        <v>-3.3917256</v>
      </c>
      <c r="H340" s="10" t="s">
        <v>1688</v>
      </c>
      <c r="I340" s="8" t="s">
        <v>1687</v>
      </c>
      <c r="J340" s="9">
        <v>90</v>
      </c>
      <c r="K340" s="11"/>
      <c r="L340" s="11"/>
      <c r="M340" s="8"/>
      <c r="N340" s="8"/>
      <c r="O340" s="11"/>
      <c r="P340" s="22">
        <v>0</v>
      </c>
      <c r="Q340" s="12"/>
      <c r="R340" s="11"/>
      <c r="S340" s="8">
        <v>8</v>
      </c>
      <c r="T340" s="12"/>
      <c r="U340" s="11"/>
      <c r="V340" s="11" t="s">
        <v>593</v>
      </c>
      <c r="W340" s="11"/>
      <c r="X340" s="9"/>
      <c r="Y340" s="9"/>
      <c r="Z340" s="8" t="s">
        <v>1721</v>
      </c>
      <c r="AA340" s="9"/>
      <c r="AB340" s="9" t="s">
        <v>2347</v>
      </c>
      <c r="AC340" s="46" t="s">
        <v>2350</v>
      </c>
    </row>
    <row r="341" spans="1:29" s="30" customFormat="1" ht="33.75" customHeight="1">
      <c r="A341" s="9"/>
      <c r="B341" s="8" t="s">
        <v>109</v>
      </c>
      <c r="C341" s="40">
        <v>357600</v>
      </c>
      <c r="D341" s="40">
        <v>488900</v>
      </c>
      <c r="E341" s="46" t="s">
        <v>2500</v>
      </c>
      <c r="F341" s="40">
        <v>54.293948999999998</v>
      </c>
      <c r="G341" s="40">
        <v>-2.6529242000000002</v>
      </c>
      <c r="H341" s="10" t="s">
        <v>1690</v>
      </c>
      <c r="I341" s="8" t="s">
        <v>1689</v>
      </c>
      <c r="J341" s="9">
        <v>190</v>
      </c>
      <c r="K341" s="11"/>
      <c r="L341" s="11"/>
      <c r="M341" s="8"/>
      <c r="N341" s="8"/>
      <c r="O341" s="11"/>
      <c r="P341" s="22">
        <v>0</v>
      </c>
      <c r="Q341" s="12"/>
      <c r="R341" s="11"/>
      <c r="S341" s="8">
        <v>9</v>
      </c>
      <c r="T341" s="12"/>
      <c r="U341" s="11"/>
      <c r="V341" s="11" t="s">
        <v>593</v>
      </c>
      <c r="W341" s="11"/>
      <c r="X341" s="9"/>
      <c r="Y341" s="9"/>
      <c r="Z341" s="8" t="s">
        <v>1721</v>
      </c>
      <c r="AA341" s="9"/>
      <c r="AB341" s="9" t="s">
        <v>2347</v>
      </c>
      <c r="AC341" s="46" t="s">
        <v>2350</v>
      </c>
    </row>
    <row r="342" spans="1:29" s="30" customFormat="1" ht="33.75" customHeight="1">
      <c r="A342" s="9"/>
      <c r="B342" s="8" t="s">
        <v>109</v>
      </c>
      <c r="C342" s="40">
        <v>354900</v>
      </c>
      <c r="D342" s="40">
        <v>485900</v>
      </c>
      <c r="E342" s="46" t="s">
        <v>2500</v>
      </c>
      <c r="F342" s="40">
        <v>54.266758000000003</v>
      </c>
      <c r="G342" s="40">
        <v>-2.6939497000000001</v>
      </c>
      <c r="H342" s="10" t="s">
        <v>1692</v>
      </c>
      <c r="I342" s="8" t="s">
        <v>1691</v>
      </c>
      <c r="J342" s="9">
        <v>70</v>
      </c>
      <c r="K342" s="11"/>
      <c r="L342" s="11"/>
      <c r="M342" s="8"/>
      <c r="N342" s="8"/>
      <c r="O342" s="11"/>
      <c r="P342" s="22">
        <v>0</v>
      </c>
      <c r="Q342" s="12"/>
      <c r="R342" s="11"/>
      <c r="S342" s="8">
        <v>8</v>
      </c>
      <c r="T342" s="12"/>
      <c r="U342" s="11"/>
      <c r="V342" s="11" t="s">
        <v>593</v>
      </c>
      <c r="W342" s="11"/>
      <c r="X342" s="9"/>
      <c r="Y342" s="9"/>
      <c r="Z342" s="8" t="s">
        <v>1721</v>
      </c>
      <c r="AA342" s="9"/>
      <c r="AB342" s="9" t="s">
        <v>2347</v>
      </c>
      <c r="AC342" s="46" t="s">
        <v>2350</v>
      </c>
    </row>
    <row r="343" spans="1:29" s="30" customFormat="1" ht="33.75" customHeight="1">
      <c r="A343" s="9"/>
      <c r="B343" s="8" t="s">
        <v>109</v>
      </c>
      <c r="C343" s="40">
        <v>318500</v>
      </c>
      <c r="D343" s="40">
        <v>534600</v>
      </c>
      <c r="E343" s="46" t="s">
        <v>2500</v>
      </c>
      <c r="F343" s="40">
        <v>54.699803000000003</v>
      </c>
      <c r="G343" s="40">
        <v>-3.2661558999999998</v>
      </c>
      <c r="H343" s="10" t="s">
        <v>1694</v>
      </c>
      <c r="I343" s="8" t="s">
        <v>1693</v>
      </c>
      <c r="J343" s="9">
        <v>130</v>
      </c>
      <c r="K343" s="11"/>
      <c r="L343" s="11"/>
      <c r="M343" s="8"/>
      <c r="N343" s="8"/>
      <c r="O343" s="11"/>
      <c r="P343" s="22">
        <v>0</v>
      </c>
      <c r="Q343" s="12"/>
      <c r="R343" s="11"/>
      <c r="S343" s="8">
        <v>6</v>
      </c>
      <c r="T343" s="12"/>
      <c r="U343" s="11"/>
      <c r="V343" s="11" t="s">
        <v>593</v>
      </c>
      <c r="W343" s="11"/>
      <c r="X343" s="9"/>
      <c r="Y343" s="9"/>
      <c r="Z343" s="8" t="s">
        <v>1721</v>
      </c>
      <c r="AA343" s="9"/>
      <c r="AB343" s="9" t="s">
        <v>2347</v>
      </c>
      <c r="AC343" s="46" t="s">
        <v>2350</v>
      </c>
    </row>
    <row r="344" spans="1:29" s="30" customFormat="1" ht="33.75" customHeight="1">
      <c r="A344" s="9"/>
      <c r="B344" s="8" t="s">
        <v>109</v>
      </c>
      <c r="C344" s="40">
        <v>311350</v>
      </c>
      <c r="D344" s="40">
        <v>523000</v>
      </c>
      <c r="E344" s="46" t="s">
        <v>2500</v>
      </c>
      <c r="F344" s="40">
        <v>54.594377999999999</v>
      </c>
      <c r="G344" s="40">
        <v>-3.3735488</v>
      </c>
      <c r="H344" s="10" t="s">
        <v>1696</v>
      </c>
      <c r="I344" s="8" t="s">
        <v>1695</v>
      </c>
      <c r="J344" s="9">
        <v>130</v>
      </c>
      <c r="K344" s="11"/>
      <c r="L344" s="11"/>
      <c r="M344" s="8"/>
      <c r="N344" s="8"/>
      <c r="O344" s="11"/>
      <c r="P344" s="22">
        <v>0</v>
      </c>
      <c r="Q344" s="12"/>
      <c r="R344" s="11"/>
      <c r="S344" s="8">
        <v>4</v>
      </c>
      <c r="T344" s="12"/>
      <c r="U344" s="11"/>
      <c r="V344" s="11" t="s">
        <v>593</v>
      </c>
      <c r="W344" s="11"/>
      <c r="X344" s="9"/>
      <c r="Y344" s="9"/>
      <c r="Z344" s="8" t="s">
        <v>1721</v>
      </c>
      <c r="AA344" s="9"/>
      <c r="AB344" s="9" t="s">
        <v>2347</v>
      </c>
      <c r="AC344" s="46" t="s">
        <v>2350</v>
      </c>
    </row>
    <row r="345" spans="1:29" s="30" customFormat="1" ht="33.75" customHeight="1">
      <c r="A345" s="9"/>
      <c r="B345" s="8" t="s">
        <v>109</v>
      </c>
      <c r="C345" s="40">
        <v>325500</v>
      </c>
      <c r="D345" s="40">
        <v>486900</v>
      </c>
      <c r="E345" s="46" t="s">
        <v>2500</v>
      </c>
      <c r="F345" s="40">
        <v>54.272300000000001</v>
      </c>
      <c r="G345" s="40">
        <v>-3.1455153999999999</v>
      </c>
      <c r="H345" s="10" t="s">
        <v>1698</v>
      </c>
      <c r="I345" s="8" t="s">
        <v>1697</v>
      </c>
      <c r="J345" s="9">
        <v>120</v>
      </c>
      <c r="K345" s="11"/>
      <c r="L345" s="11"/>
      <c r="M345" s="8"/>
      <c r="N345" s="8"/>
      <c r="O345" s="11"/>
      <c r="P345" s="22">
        <v>0</v>
      </c>
      <c r="Q345" s="12"/>
      <c r="R345" s="11"/>
      <c r="S345" s="8">
        <v>3</v>
      </c>
      <c r="T345" s="12"/>
      <c r="U345" s="11"/>
      <c r="V345" s="11" t="s">
        <v>593</v>
      </c>
      <c r="W345" s="11"/>
      <c r="X345" s="9"/>
      <c r="Y345" s="9"/>
      <c r="Z345" s="8" t="s">
        <v>1721</v>
      </c>
      <c r="AA345" s="9"/>
      <c r="AB345" s="9" t="s">
        <v>2347</v>
      </c>
      <c r="AC345" s="46" t="s">
        <v>2350</v>
      </c>
    </row>
    <row r="346" spans="1:29" s="30" customFormat="1" ht="33.75" customHeight="1">
      <c r="A346" s="9"/>
      <c r="B346" s="8" t="s">
        <v>109</v>
      </c>
      <c r="C346" s="40">
        <v>360300</v>
      </c>
      <c r="D346" s="40">
        <v>486100</v>
      </c>
      <c r="E346" s="46" t="s">
        <v>2500</v>
      </c>
      <c r="F346" s="40">
        <v>54.269004000000002</v>
      </c>
      <c r="G346" s="40">
        <v>-2.6110722000000002</v>
      </c>
      <c r="H346" s="10" t="s">
        <v>1700</v>
      </c>
      <c r="I346" s="8" t="s">
        <v>1699</v>
      </c>
      <c r="J346" s="9">
        <v>220</v>
      </c>
      <c r="K346" s="11"/>
      <c r="L346" s="11"/>
      <c r="M346" s="8"/>
      <c r="N346" s="8"/>
      <c r="O346" s="11"/>
      <c r="P346" s="22">
        <v>0</v>
      </c>
      <c r="Q346" s="12"/>
      <c r="R346" s="11"/>
      <c r="S346" s="8">
        <v>8</v>
      </c>
      <c r="T346" s="12"/>
      <c r="U346" s="11"/>
      <c r="V346" s="11" t="s">
        <v>593</v>
      </c>
      <c r="W346" s="11"/>
      <c r="X346" s="9"/>
      <c r="Y346" s="9"/>
      <c r="Z346" s="8" t="s">
        <v>1721</v>
      </c>
      <c r="AA346" s="9"/>
      <c r="AB346" s="9" t="s">
        <v>2347</v>
      </c>
      <c r="AC346" s="46" t="s">
        <v>2350</v>
      </c>
    </row>
    <row r="347" spans="1:29" s="30" customFormat="1" ht="33.75" customHeight="1">
      <c r="A347" s="9"/>
      <c r="B347" s="8" t="s">
        <v>109</v>
      </c>
      <c r="C347" s="40">
        <v>357100</v>
      </c>
      <c r="D347" s="40">
        <v>487600</v>
      </c>
      <c r="E347" s="46" t="s">
        <v>2500</v>
      </c>
      <c r="F347" s="40">
        <v>54.282224999999997</v>
      </c>
      <c r="G347" s="40">
        <v>-2.6604185999999999</v>
      </c>
      <c r="H347" s="10" t="s">
        <v>1702</v>
      </c>
      <c r="I347" s="8" t="s">
        <v>1701</v>
      </c>
      <c r="J347" s="9">
        <v>160</v>
      </c>
      <c r="K347" s="11"/>
      <c r="L347" s="11"/>
      <c r="M347" s="8"/>
      <c r="N347" s="8"/>
      <c r="O347" s="11"/>
      <c r="P347" s="22">
        <v>0</v>
      </c>
      <c r="Q347" s="12"/>
      <c r="R347" s="11"/>
      <c r="S347" s="8">
        <v>8</v>
      </c>
      <c r="T347" s="12"/>
      <c r="U347" s="11"/>
      <c r="V347" s="11" t="s">
        <v>593</v>
      </c>
      <c r="W347" s="11"/>
      <c r="X347" s="9"/>
      <c r="Y347" s="9"/>
      <c r="Z347" s="8" t="s">
        <v>1721</v>
      </c>
      <c r="AA347" s="9"/>
      <c r="AB347" s="9" t="s">
        <v>2347</v>
      </c>
      <c r="AC347" s="46" t="s">
        <v>2350</v>
      </c>
    </row>
    <row r="348" spans="1:29" s="30" customFormat="1" ht="33.75" customHeight="1">
      <c r="A348" s="9"/>
      <c r="B348" s="8" t="s">
        <v>109</v>
      </c>
      <c r="C348" s="40">
        <v>324950</v>
      </c>
      <c r="D348" s="40">
        <v>533850</v>
      </c>
      <c r="E348" s="46" t="s">
        <v>2500</v>
      </c>
      <c r="F348" s="40">
        <v>54.694068999999999</v>
      </c>
      <c r="G348" s="40">
        <v>-3.1659019000000002</v>
      </c>
      <c r="H348" s="10" t="s">
        <v>1704</v>
      </c>
      <c r="I348" s="8" t="s">
        <v>1703</v>
      </c>
      <c r="J348" s="9">
        <v>190</v>
      </c>
      <c r="K348" s="11"/>
      <c r="L348" s="11"/>
      <c r="M348" s="8"/>
      <c r="N348" s="8"/>
      <c r="O348" s="11"/>
      <c r="P348" s="22">
        <v>0</v>
      </c>
      <c r="Q348" s="12"/>
      <c r="R348" s="11"/>
      <c r="S348" s="8">
        <v>5</v>
      </c>
      <c r="T348" s="12"/>
      <c r="U348" s="11"/>
      <c r="V348" s="11" t="s">
        <v>593</v>
      </c>
      <c r="W348" s="11"/>
      <c r="X348" s="9"/>
      <c r="Y348" s="9"/>
      <c r="Z348" s="8" t="s">
        <v>1721</v>
      </c>
      <c r="AA348" s="9"/>
      <c r="AB348" s="9" t="s">
        <v>2347</v>
      </c>
      <c r="AC348" s="46" t="s">
        <v>2350</v>
      </c>
    </row>
    <row r="349" spans="1:29" s="30" customFormat="1" ht="33.75" customHeight="1">
      <c r="A349" s="9"/>
      <c r="B349" s="8" t="s">
        <v>109</v>
      </c>
      <c r="C349" s="40">
        <v>350900</v>
      </c>
      <c r="D349" s="40">
        <v>517050</v>
      </c>
      <c r="E349" s="46" t="s">
        <v>2500</v>
      </c>
      <c r="F349" s="40">
        <v>54.546309999999998</v>
      </c>
      <c r="G349" s="40">
        <v>-2.7605222999999999</v>
      </c>
      <c r="H349" s="10" t="s">
        <v>1707</v>
      </c>
      <c r="I349" s="8" t="s">
        <v>1705</v>
      </c>
      <c r="J349" s="9">
        <v>240</v>
      </c>
      <c r="K349" s="11"/>
      <c r="L349" s="11"/>
      <c r="M349" s="8"/>
      <c r="N349" s="8"/>
      <c r="O349" s="11"/>
      <c r="P349" s="22">
        <v>0</v>
      </c>
      <c r="Q349" s="12"/>
      <c r="R349" s="11"/>
      <c r="S349" s="8">
        <v>12</v>
      </c>
      <c r="T349" s="12"/>
      <c r="U349" s="11"/>
      <c r="V349" s="11" t="s">
        <v>593</v>
      </c>
      <c r="W349" s="11"/>
      <c r="X349" s="9"/>
      <c r="Y349" s="9"/>
      <c r="Z349" s="8" t="s">
        <v>1721</v>
      </c>
      <c r="AA349" s="9"/>
      <c r="AB349" s="9" t="s">
        <v>2347</v>
      </c>
      <c r="AC349" s="46" t="s">
        <v>2350</v>
      </c>
    </row>
    <row r="350" spans="1:29" s="30" customFormat="1" ht="33.75" customHeight="1">
      <c r="A350" s="9"/>
      <c r="B350" s="8" t="s">
        <v>109</v>
      </c>
      <c r="C350" s="40">
        <v>310900</v>
      </c>
      <c r="D350" s="40">
        <v>523400</v>
      </c>
      <c r="E350" s="46" t="s">
        <v>2500</v>
      </c>
      <c r="F350" s="40">
        <v>54.597892999999999</v>
      </c>
      <c r="G350" s="40">
        <v>-3.3806327999999999</v>
      </c>
      <c r="H350" s="10" t="s">
        <v>1708</v>
      </c>
      <c r="I350" s="8" t="s">
        <v>1706</v>
      </c>
      <c r="J350" s="9">
        <v>170</v>
      </c>
      <c r="K350" s="11"/>
      <c r="L350" s="11"/>
      <c r="M350" s="8"/>
      <c r="N350" s="8"/>
      <c r="O350" s="11"/>
      <c r="P350" s="22">
        <v>0</v>
      </c>
      <c r="Q350" s="12"/>
      <c r="R350" s="11"/>
      <c r="S350" s="8">
        <v>7</v>
      </c>
      <c r="T350" s="12"/>
      <c r="U350" s="11"/>
      <c r="V350" s="11" t="s">
        <v>593</v>
      </c>
      <c r="W350" s="11"/>
      <c r="X350" s="9"/>
      <c r="Y350" s="9"/>
      <c r="Z350" s="8" t="s">
        <v>1721</v>
      </c>
      <c r="AA350" s="9"/>
      <c r="AB350" s="9" t="s">
        <v>2347</v>
      </c>
      <c r="AC350" s="46" t="s">
        <v>2350</v>
      </c>
    </row>
    <row r="351" spans="1:29" s="30" customFormat="1" ht="33.75" customHeight="1">
      <c r="A351" s="9"/>
      <c r="B351" s="8" t="s">
        <v>109</v>
      </c>
      <c r="C351" s="40">
        <v>352900</v>
      </c>
      <c r="D351" s="40">
        <v>489100</v>
      </c>
      <c r="E351" s="46" t="s">
        <v>2500</v>
      </c>
      <c r="F351" s="40">
        <v>54.295333999999997</v>
      </c>
      <c r="G351" s="40">
        <v>-2.7251593000000001</v>
      </c>
      <c r="H351" s="10" t="s">
        <v>1711</v>
      </c>
      <c r="I351" s="8" t="s">
        <v>1709</v>
      </c>
      <c r="J351" s="9">
        <v>100</v>
      </c>
      <c r="K351" s="11"/>
      <c r="L351" s="11"/>
      <c r="M351" s="8"/>
      <c r="N351" s="8"/>
      <c r="O351" s="11"/>
      <c r="P351" s="22">
        <v>0</v>
      </c>
      <c r="Q351" s="12"/>
      <c r="R351" s="11"/>
      <c r="S351" s="8">
        <v>8</v>
      </c>
      <c r="T351" s="12"/>
      <c r="U351" s="11"/>
      <c r="V351" s="11" t="s">
        <v>593</v>
      </c>
      <c r="W351" s="11"/>
      <c r="X351" s="9"/>
      <c r="Y351" s="9"/>
      <c r="Z351" s="8" t="s">
        <v>1721</v>
      </c>
      <c r="AA351" s="9"/>
      <c r="AB351" s="9" t="s">
        <v>2347</v>
      </c>
      <c r="AC351" s="46" t="s">
        <v>2350</v>
      </c>
    </row>
    <row r="352" spans="1:29" s="30" customFormat="1" ht="33.75" customHeight="1">
      <c r="A352" s="9"/>
      <c r="B352" s="8" t="s">
        <v>109</v>
      </c>
      <c r="C352" s="40">
        <v>325700</v>
      </c>
      <c r="D352" s="40">
        <v>488100</v>
      </c>
      <c r="E352" s="46" t="s">
        <v>2500</v>
      </c>
      <c r="F352" s="40">
        <v>54.283112000000003</v>
      </c>
      <c r="G352" s="40">
        <v>-3.1427432999999998</v>
      </c>
      <c r="H352" s="10" t="s">
        <v>1712</v>
      </c>
      <c r="I352" s="8" t="s">
        <v>1710</v>
      </c>
      <c r="J352" s="9">
        <v>150</v>
      </c>
      <c r="K352" s="11"/>
      <c r="L352" s="11"/>
      <c r="M352" s="8"/>
      <c r="N352" s="8"/>
      <c r="O352" s="11"/>
      <c r="P352" s="22">
        <v>0</v>
      </c>
      <c r="Q352" s="12"/>
      <c r="R352" s="11"/>
      <c r="S352" s="8">
        <v>5</v>
      </c>
      <c r="T352" s="12"/>
      <c r="U352" s="11"/>
      <c r="V352" s="11" t="s">
        <v>593</v>
      </c>
      <c r="W352" s="11"/>
      <c r="X352" s="9"/>
      <c r="Y352" s="9"/>
      <c r="Z352" s="8" t="s">
        <v>1721</v>
      </c>
      <c r="AA352" s="9"/>
      <c r="AB352" s="9" t="s">
        <v>2347</v>
      </c>
      <c r="AC352" s="46" t="s">
        <v>2350</v>
      </c>
    </row>
    <row r="353" spans="1:29" ht="33.75" customHeight="1">
      <c r="A353" s="9"/>
      <c r="B353" s="8" t="s">
        <v>109</v>
      </c>
      <c r="C353" s="40">
        <v>355300</v>
      </c>
      <c r="D353" s="40">
        <v>489500</v>
      </c>
      <c r="E353" s="46" t="s">
        <v>2500</v>
      </c>
      <c r="F353" s="40">
        <v>54.299145000000003</v>
      </c>
      <c r="G353" s="40">
        <v>-2.688348</v>
      </c>
      <c r="H353" s="10" t="s">
        <v>1715</v>
      </c>
      <c r="I353" s="8" t="s">
        <v>1713</v>
      </c>
      <c r="J353" s="9">
        <v>100</v>
      </c>
      <c r="K353" s="11"/>
      <c r="L353" s="11"/>
      <c r="M353" s="8"/>
      <c r="N353" s="8"/>
      <c r="O353" s="11"/>
      <c r="P353" s="22">
        <v>0</v>
      </c>
      <c r="Q353" s="12"/>
      <c r="R353" s="11"/>
      <c r="S353" s="8">
        <v>7</v>
      </c>
      <c r="T353" s="12"/>
      <c r="U353" s="11"/>
      <c r="V353" s="11" t="s">
        <v>593</v>
      </c>
      <c r="W353" s="11"/>
      <c r="X353" s="9"/>
      <c r="Y353" s="9"/>
      <c r="Z353" s="8" t="s">
        <v>1721</v>
      </c>
      <c r="AA353" s="9"/>
      <c r="AB353" s="9" t="s">
        <v>2347</v>
      </c>
      <c r="AC353" s="46" t="s">
        <v>2350</v>
      </c>
    </row>
    <row r="354" spans="1:29" ht="33.75" customHeight="1">
      <c r="A354" s="9"/>
      <c r="B354" s="8" t="s">
        <v>109</v>
      </c>
      <c r="C354" s="40">
        <v>327800</v>
      </c>
      <c r="D354" s="40">
        <v>491800</v>
      </c>
      <c r="E354" s="46" t="s">
        <v>2500</v>
      </c>
      <c r="F354" s="40">
        <v>54.316659000000001</v>
      </c>
      <c r="G354" s="40">
        <v>-3.1113897000000001</v>
      </c>
      <c r="H354" s="10" t="s">
        <v>1716</v>
      </c>
      <c r="I354" s="8" t="s">
        <v>1714</v>
      </c>
      <c r="J354" s="9">
        <v>200</v>
      </c>
      <c r="K354" s="11"/>
      <c r="L354" s="11"/>
      <c r="M354" s="8"/>
      <c r="N354" s="8"/>
      <c r="O354" s="11"/>
      <c r="P354" s="22">
        <v>0</v>
      </c>
      <c r="Q354" s="12"/>
      <c r="R354" s="11"/>
      <c r="S354" s="8">
        <v>8</v>
      </c>
      <c r="T354" s="12"/>
      <c r="U354" s="11"/>
      <c r="V354" s="11" t="s">
        <v>593</v>
      </c>
      <c r="W354" s="11"/>
      <c r="X354" s="9"/>
      <c r="Y354" s="9"/>
      <c r="Z354" s="8" t="s">
        <v>1721</v>
      </c>
      <c r="AA354" s="9"/>
      <c r="AB354" s="9" t="s">
        <v>2347</v>
      </c>
      <c r="AC354" s="46" t="s">
        <v>2350</v>
      </c>
    </row>
    <row r="355" spans="1:29" ht="33.75" customHeight="1">
      <c r="A355" s="9"/>
      <c r="B355" s="8" t="s">
        <v>109</v>
      </c>
      <c r="C355" s="40">
        <v>359400</v>
      </c>
      <c r="D355" s="40">
        <v>487500</v>
      </c>
      <c r="E355" s="46" t="s">
        <v>2500</v>
      </c>
      <c r="F355" s="40">
        <v>54.281514000000001</v>
      </c>
      <c r="G355" s="40">
        <v>-2.6250808000000001</v>
      </c>
      <c r="H355" s="10" t="s">
        <v>1718</v>
      </c>
      <c r="I355" s="8" t="s">
        <v>1717</v>
      </c>
      <c r="J355" s="9">
        <v>180</v>
      </c>
      <c r="K355" s="11"/>
      <c r="L355" s="11"/>
      <c r="M355" s="8"/>
      <c r="N355" s="8"/>
      <c r="O355" s="11"/>
      <c r="P355" s="22">
        <v>0</v>
      </c>
      <c r="Q355" s="12"/>
      <c r="R355" s="11"/>
      <c r="S355" s="8">
        <v>10</v>
      </c>
      <c r="T355" s="12"/>
      <c r="U355" s="11"/>
      <c r="V355" s="11" t="s">
        <v>593</v>
      </c>
      <c r="W355" s="11"/>
      <c r="X355" s="9"/>
      <c r="Y355" s="9"/>
      <c r="Z355" s="8" t="s">
        <v>1721</v>
      </c>
      <c r="AA355" s="9"/>
      <c r="AB355" s="9" t="s">
        <v>2347</v>
      </c>
      <c r="AC355" s="46" t="s">
        <v>2350</v>
      </c>
    </row>
    <row r="356" spans="1:29" ht="33.75" customHeight="1">
      <c r="A356" s="9"/>
      <c r="B356" s="8" t="s">
        <v>109</v>
      </c>
      <c r="C356" s="40">
        <v>335100</v>
      </c>
      <c r="D356" s="40">
        <v>506500</v>
      </c>
      <c r="E356" s="46" t="s">
        <v>2500</v>
      </c>
      <c r="F356" s="40">
        <v>54.449731</v>
      </c>
      <c r="G356" s="40">
        <v>-3.0024058</v>
      </c>
      <c r="H356" s="10" t="s">
        <v>1719</v>
      </c>
      <c r="I356" s="8" t="s">
        <v>82</v>
      </c>
      <c r="J356" s="9">
        <v>70</v>
      </c>
      <c r="K356" s="11"/>
      <c r="L356" s="11"/>
      <c r="M356" s="8"/>
      <c r="N356" s="8"/>
      <c r="O356" s="11"/>
      <c r="P356" s="22">
        <v>0</v>
      </c>
      <c r="Q356" s="12"/>
      <c r="R356" s="11"/>
      <c r="S356" s="8">
        <v>11</v>
      </c>
      <c r="T356" s="12"/>
      <c r="U356" s="11"/>
      <c r="V356" s="11" t="s">
        <v>593</v>
      </c>
      <c r="W356" s="11"/>
      <c r="X356" s="9"/>
      <c r="Y356" s="9"/>
      <c r="Z356" s="8" t="s">
        <v>1721</v>
      </c>
      <c r="AA356" s="9"/>
      <c r="AB356" s="9" t="s">
        <v>2347</v>
      </c>
      <c r="AC356" s="46" t="s">
        <v>2350</v>
      </c>
    </row>
    <row r="357" spans="1:29" ht="33.75" customHeight="1">
      <c r="A357" s="9"/>
      <c r="B357" s="8" t="s">
        <v>109</v>
      </c>
      <c r="C357" s="40">
        <v>334283</v>
      </c>
      <c r="D357" s="40">
        <v>569413</v>
      </c>
      <c r="E357" s="46" t="s">
        <v>2500</v>
      </c>
      <c r="F357" s="40">
        <v>55.014907000000001</v>
      </c>
      <c r="G357" s="40">
        <v>-3.0292363</v>
      </c>
      <c r="H357" s="10" t="s">
        <v>1726</v>
      </c>
      <c r="I357" s="37" t="s">
        <v>1720</v>
      </c>
      <c r="J357" s="9">
        <v>20</v>
      </c>
      <c r="K357" s="11"/>
      <c r="L357" s="11"/>
      <c r="M357" s="8" t="s">
        <v>1723</v>
      </c>
      <c r="N357" s="8" t="s">
        <v>1722</v>
      </c>
      <c r="O357" s="11">
        <f>7080-3840</f>
        <v>3240</v>
      </c>
      <c r="P357" s="22">
        <v>9</v>
      </c>
      <c r="Q357" s="12"/>
      <c r="R357" s="11"/>
      <c r="S357" s="8">
        <v>44</v>
      </c>
      <c r="T357" s="12"/>
      <c r="U357" s="11"/>
      <c r="V357" s="11" t="s">
        <v>594</v>
      </c>
      <c r="W357" s="11"/>
      <c r="X357" s="9"/>
      <c r="Y357" s="9"/>
      <c r="Z357" s="8" t="s">
        <v>1721</v>
      </c>
      <c r="AA357" s="9"/>
      <c r="AB357" s="9" t="s">
        <v>2347</v>
      </c>
      <c r="AC357" s="46" t="s">
        <v>2350</v>
      </c>
    </row>
    <row r="358" spans="1:29" s="30" customFormat="1" ht="33.75" customHeight="1">
      <c r="A358" s="9"/>
      <c r="B358" s="8" t="s">
        <v>109</v>
      </c>
      <c r="C358" s="40">
        <v>363412</v>
      </c>
      <c r="D358" s="40">
        <v>500514</v>
      </c>
      <c r="E358" s="46" t="s">
        <v>2500</v>
      </c>
      <c r="F358" s="40">
        <v>54.398771000000004</v>
      </c>
      <c r="G358" s="40">
        <v>-2.5650659999999998</v>
      </c>
      <c r="H358" s="10" t="s">
        <v>1725</v>
      </c>
      <c r="I358" s="37" t="s">
        <v>126</v>
      </c>
      <c r="J358" s="9">
        <v>450</v>
      </c>
      <c r="K358" s="11"/>
      <c r="L358" s="11"/>
      <c r="M358" s="8" t="s">
        <v>1505</v>
      </c>
      <c r="N358" s="8" t="s">
        <v>1724</v>
      </c>
      <c r="O358" s="11">
        <f>3480-2355</f>
        <v>1125</v>
      </c>
      <c r="P358" s="22">
        <v>2</v>
      </c>
      <c r="Q358" s="12"/>
      <c r="R358" s="11"/>
      <c r="S358" s="8">
        <v>20</v>
      </c>
      <c r="T358" s="12"/>
      <c r="U358" s="11"/>
      <c r="V358" s="11" t="s">
        <v>594</v>
      </c>
      <c r="W358" s="11"/>
      <c r="X358" s="9"/>
      <c r="Y358" s="9"/>
      <c r="Z358" s="8" t="s">
        <v>1721</v>
      </c>
      <c r="AA358" s="9"/>
      <c r="AB358" s="9" t="s">
        <v>2347</v>
      </c>
      <c r="AC358" s="46" t="s">
        <v>2350</v>
      </c>
    </row>
    <row r="359" spans="1:29" ht="33.75" customHeight="1">
      <c r="A359" s="9"/>
      <c r="B359" s="8" t="s">
        <v>109</v>
      </c>
      <c r="C359" s="26">
        <v>335500</v>
      </c>
      <c r="D359" s="26">
        <v>482900</v>
      </c>
      <c r="E359" s="46" t="s">
        <v>2322</v>
      </c>
      <c r="F359" s="26">
        <v>54.237717000000004</v>
      </c>
      <c r="G359" s="26">
        <v>-2.9911213000000001</v>
      </c>
      <c r="H359" s="10" t="s">
        <v>1456</v>
      </c>
      <c r="I359" s="8" t="s">
        <v>1260</v>
      </c>
      <c r="J359" s="9">
        <v>160</v>
      </c>
      <c r="K359" s="11"/>
      <c r="L359" s="11" t="s">
        <v>1263</v>
      </c>
      <c r="M359" s="8" t="s">
        <v>1262</v>
      </c>
      <c r="N359" s="8" t="s">
        <v>1261</v>
      </c>
      <c r="O359" s="11">
        <f>4137-1204</f>
        <v>2933</v>
      </c>
      <c r="P359" s="22">
        <v>12</v>
      </c>
      <c r="Q359" s="12">
        <f>P359/O359*1000</f>
        <v>4.0913740197749746</v>
      </c>
      <c r="R359" s="11"/>
      <c r="S359" s="8">
        <v>51</v>
      </c>
      <c r="T359" s="12">
        <f>S359/(O359/1000)</f>
        <v>17.388339584043642</v>
      </c>
      <c r="U359" s="11"/>
      <c r="V359" s="11"/>
      <c r="W359" s="11"/>
      <c r="X359" s="9"/>
      <c r="Y359" s="9"/>
      <c r="Z359" s="8" t="s">
        <v>1270</v>
      </c>
      <c r="AA359" s="9"/>
      <c r="AB359" s="9" t="s">
        <v>2347</v>
      </c>
      <c r="AC359" s="46" t="s">
        <v>2350</v>
      </c>
    </row>
    <row r="360" spans="1:29" ht="33.75" customHeight="1">
      <c r="A360" s="9"/>
      <c r="B360" s="8" t="s">
        <v>109</v>
      </c>
      <c r="C360" s="26">
        <v>332937</v>
      </c>
      <c r="D360" s="26">
        <v>476367</v>
      </c>
      <c r="E360" s="46" t="s">
        <v>2501</v>
      </c>
      <c r="F360" s="26">
        <v>54.178682999999999</v>
      </c>
      <c r="G360" s="26">
        <v>-3.0289779999999999</v>
      </c>
      <c r="H360" s="10" t="s">
        <v>1309</v>
      </c>
      <c r="I360" s="8" t="s">
        <v>1306</v>
      </c>
      <c r="J360" s="9">
        <v>0</v>
      </c>
      <c r="K360" s="9" t="s">
        <v>1307</v>
      </c>
      <c r="L360" s="11"/>
      <c r="M360" s="8" t="s">
        <v>1318</v>
      </c>
      <c r="N360" s="8"/>
      <c r="O360" s="11"/>
      <c r="P360" s="22">
        <v>1</v>
      </c>
      <c r="Q360" s="12"/>
      <c r="R360" s="11"/>
      <c r="S360" s="8">
        <v>1</v>
      </c>
      <c r="T360" s="12"/>
      <c r="U360" s="11"/>
      <c r="V360" s="11"/>
      <c r="W360" s="11"/>
      <c r="X360" s="9"/>
      <c r="Y360" s="9"/>
      <c r="Z360" s="8" t="s">
        <v>1335</v>
      </c>
      <c r="AA360" s="9"/>
      <c r="AB360" s="9" t="s">
        <v>2347</v>
      </c>
      <c r="AC360" s="46" t="s">
        <v>2350</v>
      </c>
    </row>
    <row r="361" spans="1:29" ht="33.75" customHeight="1">
      <c r="A361" s="9"/>
      <c r="B361" s="8" t="s">
        <v>109</v>
      </c>
      <c r="C361" s="26">
        <v>334000</v>
      </c>
      <c r="D361" s="26">
        <v>472000</v>
      </c>
      <c r="E361" s="46" t="s">
        <v>2501</v>
      </c>
      <c r="F361" s="26">
        <v>54.139578999999998</v>
      </c>
      <c r="G361" s="26">
        <v>-3.0117365999999999</v>
      </c>
      <c r="H361" s="10" t="s">
        <v>1310</v>
      </c>
      <c r="I361" s="8" t="s">
        <v>1306</v>
      </c>
      <c r="J361" s="9">
        <v>0</v>
      </c>
      <c r="K361" s="9" t="s">
        <v>1308</v>
      </c>
      <c r="L361" s="11"/>
      <c r="M361" s="8"/>
      <c r="N361" s="8"/>
      <c r="O361" s="11"/>
      <c r="P361" s="22">
        <v>0</v>
      </c>
      <c r="Q361" s="12"/>
      <c r="R361" s="11"/>
      <c r="S361" s="8">
        <v>1</v>
      </c>
      <c r="T361" s="12"/>
      <c r="U361" s="11"/>
      <c r="V361" s="11"/>
      <c r="W361" s="11"/>
      <c r="X361" s="9"/>
      <c r="Y361" s="9"/>
      <c r="Z361" s="8" t="s">
        <v>1335</v>
      </c>
      <c r="AA361" s="9"/>
      <c r="AB361" s="9" t="s">
        <v>2347</v>
      </c>
      <c r="AC361" s="46" t="s">
        <v>2350</v>
      </c>
    </row>
    <row r="362" spans="1:29" ht="33.75" customHeight="1">
      <c r="A362" s="9"/>
      <c r="B362" s="8" t="s">
        <v>109</v>
      </c>
      <c r="C362" s="26">
        <v>332089</v>
      </c>
      <c r="D362" s="26">
        <v>471901</v>
      </c>
      <c r="E362" s="46" t="s">
        <v>2501</v>
      </c>
      <c r="F362" s="26">
        <v>54.138440000000003</v>
      </c>
      <c r="G362" s="26">
        <v>-3.0409600999999999</v>
      </c>
      <c r="H362" s="10" t="s">
        <v>1312</v>
      </c>
      <c r="I362" s="8" t="s">
        <v>1306</v>
      </c>
      <c r="J362" s="9">
        <v>0</v>
      </c>
      <c r="K362" s="9" t="s">
        <v>1311</v>
      </c>
      <c r="L362" s="11"/>
      <c r="M362" s="8" t="s">
        <v>1319</v>
      </c>
      <c r="N362" s="8"/>
      <c r="O362" s="11"/>
      <c r="P362" s="22">
        <v>1</v>
      </c>
      <c r="Q362" s="12"/>
      <c r="R362" s="11"/>
      <c r="S362" s="8">
        <v>7</v>
      </c>
      <c r="T362" s="12"/>
      <c r="U362" s="11"/>
      <c r="V362" s="11"/>
      <c r="W362" s="11"/>
      <c r="X362" s="9"/>
      <c r="Y362" s="9"/>
      <c r="Z362" s="8" t="s">
        <v>1335</v>
      </c>
      <c r="AA362" s="9"/>
      <c r="AB362" s="9" t="s">
        <v>2347</v>
      </c>
      <c r="AC362" s="46" t="s">
        <v>2350</v>
      </c>
    </row>
    <row r="363" spans="1:29" ht="33.75" customHeight="1">
      <c r="A363" s="9"/>
      <c r="B363" s="8" t="s">
        <v>109</v>
      </c>
      <c r="C363" s="26">
        <v>344869</v>
      </c>
      <c r="D363" s="26">
        <v>466459</v>
      </c>
      <c r="E363" s="46" t="s">
        <v>2501</v>
      </c>
      <c r="F363" s="26">
        <v>54.091068</v>
      </c>
      <c r="G363" s="26">
        <v>-2.8443773000000001</v>
      </c>
      <c r="H363" s="10" t="s">
        <v>1314</v>
      </c>
      <c r="I363" s="8" t="s">
        <v>1306</v>
      </c>
      <c r="J363" s="9">
        <v>0</v>
      </c>
      <c r="K363" s="9" t="s">
        <v>1313</v>
      </c>
      <c r="L363" s="11"/>
      <c r="M363" s="8" t="s">
        <v>1320</v>
      </c>
      <c r="N363" s="8"/>
      <c r="O363" s="11"/>
      <c r="P363" s="22">
        <v>1</v>
      </c>
      <c r="Q363" s="12"/>
      <c r="R363" s="11"/>
      <c r="S363" s="8">
        <v>3</v>
      </c>
      <c r="T363" s="12"/>
      <c r="U363" s="11"/>
      <c r="V363" s="11"/>
      <c r="W363" s="11"/>
      <c r="X363" s="9"/>
      <c r="Y363" s="9"/>
      <c r="Z363" s="8" t="s">
        <v>1335</v>
      </c>
      <c r="AA363" s="9"/>
      <c r="AB363" s="9" t="s">
        <v>2347</v>
      </c>
      <c r="AC363" s="46" t="s">
        <v>2350</v>
      </c>
    </row>
    <row r="364" spans="1:29" ht="33.75" customHeight="1">
      <c r="A364" s="9"/>
      <c r="B364" s="8" t="s">
        <v>109</v>
      </c>
      <c r="C364" s="26">
        <v>332209</v>
      </c>
      <c r="D364" s="26">
        <v>477915</v>
      </c>
      <c r="E364" s="46" t="s">
        <v>2501</v>
      </c>
      <c r="F364" s="26">
        <v>54.192497000000003</v>
      </c>
      <c r="G364" s="26">
        <v>-3.0404791000000002</v>
      </c>
      <c r="H364" s="10" t="s">
        <v>1317</v>
      </c>
      <c r="I364" s="8" t="s">
        <v>1306</v>
      </c>
      <c r="J364" s="9">
        <v>0</v>
      </c>
      <c r="K364" s="9" t="s">
        <v>1315</v>
      </c>
      <c r="L364" s="11"/>
      <c r="M364" s="8" t="s">
        <v>1321</v>
      </c>
      <c r="N364" s="8"/>
      <c r="O364" s="11"/>
      <c r="P364" s="22">
        <v>1</v>
      </c>
      <c r="Q364" s="12"/>
      <c r="R364" s="11"/>
      <c r="S364" s="8">
        <v>1</v>
      </c>
      <c r="T364" s="12"/>
      <c r="U364" s="11"/>
      <c r="V364" s="11"/>
      <c r="W364" s="11"/>
      <c r="X364" s="9"/>
      <c r="Y364" s="9"/>
      <c r="Z364" s="8" t="s">
        <v>1335</v>
      </c>
      <c r="AA364" s="9"/>
      <c r="AB364" s="9" t="s">
        <v>2347</v>
      </c>
      <c r="AC364" s="46" t="s">
        <v>2350</v>
      </c>
    </row>
    <row r="365" spans="1:29" ht="33.75" customHeight="1">
      <c r="A365" s="9"/>
      <c r="B365" s="8" t="s">
        <v>109</v>
      </c>
      <c r="C365" s="26">
        <v>333500</v>
      </c>
      <c r="D365" s="26">
        <v>474649</v>
      </c>
      <c r="E365" s="46" t="s">
        <v>2501</v>
      </c>
      <c r="F365" s="26">
        <v>54.163317999999997</v>
      </c>
      <c r="G365" s="26">
        <v>-3.0199737999999998</v>
      </c>
      <c r="H365" s="10" t="s">
        <v>1305</v>
      </c>
      <c r="I365" s="8" t="s">
        <v>1306</v>
      </c>
      <c r="J365" s="9">
        <v>0</v>
      </c>
      <c r="K365" s="9" t="s">
        <v>1316</v>
      </c>
      <c r="L365" s="11"/>
      <c r="M365" s="8" t="s">
        <v>1322</v>
      </c>
      <c r="N365" s="8"/>
      <c r="O365" s="11"/>
      <c r="P365" s="22">
        <v>1</v>
      </c>
      <c r="Q365" s="12"/>
      <c r="R365" s="11"/>
      <c r="S365" s="8">
        <v>1</v>
      </c>
      <c r="T365" s="12"/>
      <c r="U365" s="11"/>
      <c r="V365" s="11"/>
      <c r="W365" s="11"/>
      <c r="X365" s="9"/>
      <c r="Y365" s="9"/>
      <c r="Z365" s="8" t="s">
        <v>1335</v>
      </c>
      <c r="AA365" s="9"/>
      <c r="AB365" s="9" t="s">
        <v>2347</v>
      </c>
      <c r="AC365" s="46" t="s">
        <v>2350</v>
      </c>
    </row>
    <row r="366" spans="1:29" ht="33.75" customHeight="1">
      <c r="A366" s="9"/>
      <c r="B366" s="8" t="s">
        <v>109</v>
      </c>
      <c r="C366" s="26">
        <v>306550</v>
      </c>
      <c r="D366" s="26">
        <v>539710</v>
      </c>
      <c r="E366" s="46" t="s">
        <v>2501</v>
      </c>
      <c r="F366" s="26">
        <v>54.743631000000001</v>
      </c>
      <c r="G366" s="26">
        <v>-3.4531638999999998</v>
      </c>
      <c r="H366" s="10" t="s">
        <v>1324</v>
      </c>
      <c r="I366" s="8" t="s">
        <v>1323</v>
      </c>
      <c r="J366" s="9">
        <v>10</v>
      </c>
      <c r="K366" s="9" t="s">
        <v>1325</v>
      </c>
      <c r="L366" s="11" t="s">
        <v>1328</v>
      </c>
      <c r="M366" s="8" t="s">
        <v>1326</v>
      </c>
      <c r="N366" s="8" t="s">
        <v>1327</v>
      </c>
      <c r="O366" s="11">
        <f>6810-6495</f>
        <v>315</v>
      </c>
      <c r="P366" s="22">
        <v>2</v>
      </c>
      <c r="Q366" s="12"/>
      <c r="R366" s="11"/>
      <c r="S366" s="8">
        <v>4</v>
      </c>
      <c r="T366" s="12"/>
      <c r="U366" s="11" t="s">
        <v>1214</v>
      </c>
      <c r="V366" s="11" t="s">
        <v>594</v>
      </c>
      <c r="W366" s="11"/>
      <c r="X366" s="9"/>
      <c r="Y366" s="9"/>
      <c r="Z366" s="8" t="s">
        <v>1335</v>
      </c>
      <c r="AA366" s="9"/>
      <c r="AB366" s="9" t="s">
        <v>2347</v>
      </c>
      <c r="AC366" s="46" t="s">
        <v>2350</v>
      </c>
    </row>
    <row r="367" spans="1:29" ht="33.75" customHeight="1">
      <c r="A367" s="9"/>
      <c r="B367" s="8" t="s">
        <v>109</v>
      </c>
      <c r="C367" s="26">
        <v>308380</v>
      </c>
      <c r="D367" s="26">
        <v>491610</v>
      </c>
      <c r="E367" s="46" t="s">
        <v>2501</v>
      </c>
      <c r="F367" s="26">
        <v>54.311833</v>
      </c>
      <c r="G367" s="26">
        <v>-3.4097735999999998</v>
      </c>
      <c r="H367" s="10" t="s">
        <v>1330</v>
      </c>
      <c r="I367" s="8" t="s">
        <v>1329</v>
      </c>
      <c r="J367" s="9">
        <v>5</v>
      </c>
      <c r="K367" s="9" t="s">
        <v>1325</v>
      </c>
      <c r="L367" s="11"/>
      <c r="M367" s="8" t="s">
        <v>1331</v>
      </c>
      <c r="N367" s="8"/>
      <c r="O367" s="11"/>
      <c r="P367" s="22">
        <v>1</v>
      </c>
      <c r="Q367" s="12"/>
      <c r="R367" s="11"/>
      <c r="S367" s="8">
        <v>21</v>
      </c>
      <c r="T367" s="12"/>
      <c r="U367" s="11" t="s">
        <v>1178</v>
      </c>
      <c r="V367" s="11"/>
      <c r="W367" s="11"/>
      <c r="X367" s="9"/>
      <c r="Y367" s="9"/>
      <c r="Z367" s="8" t="s">
        <v>1335</v>
      </c>
      <c r="AA367" s="9"/>
      <c r="AB367" s="9" t="s">
        <v>2347</v>
      </c>
      <c r="AC367" s="46" t="s">
        <v>2350</v>
      </c>
    </row>
    <row r="368" spans="1:29" ht="33.75" customHeight="1">
      <c r="A368" s="9"/>
      <c r="B368" s="8" t="s">
        <v>109</v>
      </c>
      <c r="C368" s="26">
        <v>322000</v>
      </c>
      <c r="D368" s="26">
        <v>484700</v>
      </c>
      <c r="E368" s="46" t="s">
        <v>2501</v>
      </c>
      <c r="F368" s="26">
        <v>54.252009999999999</v>
      </c>
      <c r="G368" s="26">
        <v>-3.1986745999999999</v>
      </c>
      <c r="H368" s="10" t="s">
        <v>1454</v>
      </c>
      <c r="I368" s="8" t="s">
        <v>1333</v>
      </c>
      <c r="J368" s="9">
        <v>0</v>
      </c>
      <c r="K368" s="11">
        <v>11</v>
      </c>
      <c r="L368" s="11"/>
      <c r="M368" s="8" t="s">
        <v>1332</v>
      </c>
      <c r="N368" s="8"/>
      <c r="O368" s="11"/>
      <c r="P368" s="22">
        <v>1</v>
      </c>
      <c r="Q368" s="12"/>
      <c r="R368" s="11"/>
      <c r="S368" s="8">
        <v>17</v>
      </c>
      <c r="T368" s="12"/>
      <c r="U368" s="11"/>
      <c r="V368" s="11"/>
      <c r="W368" s="11"/>
      <c r="X368" s="9"/>
      <c r="Y368" s="9"/>
      <c r="Z368" s="8" t="s">
        <v>1335</v>
      </c>
      <c r="AA368" s="9"/>
      <c r="AB368" s="9" t="s">
        <v>2347</v>
      </c>
      <c r="AC368" s="46" t="s">
        <v>2350</v>
      </c>
    </row>
    <row r="369" spans="1:29" ht="33.75" customHeight="1">
      <c r="A369" s="9"/>
      <c r="B369" s="8" t="s">
        <v>109</v>
      </c>
      <c r="C369" s="26">
        <v>322000</v>
      </c>
      <c r="D369" s="26">
        <v>484700</v>
      </c>
      <c r="E369" s="46" t="s">
        <v>2501</v>
      </c>
      <c r="F369" s="26">
        <v>54.252009999999999</v>
      </c>
      <c r="G369" s="26">
        <v>-3.1986745999999999</v>
      </c>
      <c r="H369" s="10" t="s">
        <v>1454</v>
      </c>
      <c r="I369" s="8" t="s">
        <v>1333</v>
      </c>
      <c r="J369" s="9">
        <v>0</v>
      </c>
      <c r="K369" s="11">
        <v>16</v>
      </c>
      <c r="L369" s="11"/>
      <c r="M369" s="8" t="s">
        <v>1334</v>
      </c>
      <c r="N369" s="8"/>
      <c r="O369" s="11"/>
      <c r="P369" s="22">
        <v>1</v>
      </c>
      <c r="Q369" s="12"/>
      <c r="R369" s="11"/>
      <c r="S369" s="8">
        <v>10</v>
      </c>
      <c r="T369" s="12"/>
      <c r="U369" s="11"/>
      <c r="V369" s="11"/>
      <c r="W369" s="11"/>
      <c r="X369" s="9"/>
      <c r="Y369" s="9"/>
      <c r="Z369" s="8" t="s">
        <v>1335</v>
      </c>
      <c r="AA369" s="9"/>
      <c r="AB369" s="9" t="s">
        <v>2347</v>
      </c>
      <c r="AC369" s="46" t="s">
        <v>2350</v>
      </c>
    </row>
    <row r="370" spans="1:29" ht="33.75" customHeight="1">
      <c r="A370" s="9"/>
      <c r="B370" s="8" t="s">
        <v>109</v>
      </c>
      <c r="C370" s="26">
        <v>326200</v>
      </c>
      <c r="D370" s="26">
        <v>508300</v>
      </c>
      <c r="E370" s="46" t="s">
        <v>2502</v>
      </c>
      <c r="F370" s="26">
        <v>54.464688000000002</v>
      </c>
      <c r="G370" s="26">
        <v>-3.1400841000000002</v>
      </c>
      <c r="H370" s="10" t="s">
        <v>1729</v>
      </c>
      <c r="I370" s="8" t="s">
        <v>1727</v>
      </c>
      <c r="J370" s="9">
        <v>410</v>
      </c>
      <c r="K370" s="11"/>
      <c r="L370" s="11"/>
      <c r="M370" s="8"/>
      <c r="N370" s="8"/>
      <c r="O370" s="11"/>
      <c r="P370" s="22">
        <v>0</v>
      </c>
      <c r="Q370" s="12"/>
      <c r="R370" s="11"/>
      <c r="S370" s="8">
        <v>100</v>
      </c>
      <c r="T370" s="12"/>
      <c r="U370" s="11" t="s">
        <v>834</v>
      </c>
      <c r="V370" s="11" t="s">
        <v>594</v>
      </c>
      <c r="W370" s="11"/>
      <c r="X370" s="9"/>
      <c r="Y370" s="9"/>
      <c r="Z370" s="8" t="s">
        <v>1728</v>
      </c>
      <c r="AA370" s="9"/>
      <c r="AB370" s="9" t="s">
        <v>2347</v>
      </c>
      <c r="AC370" s="46" t="s">
        <v>2350</v>
      </c>
    </row>
    <row r="371" spans="1:29" ht="33.75" customHeight="1">
      <c r="A371" s="11"/>
      <c r="B371" s="8" t="s">
        <v>109</v>
      </c>
      <c r="C371" s="26">
        <v>367500</v>
      </c>
      <c r="D371" s="26">
        <v>507700</v>
      </c>
      <c r="E371" s="50" t="s">
        <v>2503</v>
      </c>
      <c r="F371" s="26">
        <v>54.463628</v>
      </c>
      <c r="G371" s="26">
        <v>-2.5028926</v>
      </c>
      <c r="H371" s="10" t="s">
        <v>1453</v>
      </c>
      <c r="I371" s="8" t="s">
        <v>1442</v>
      </c>
      <c r="J371" s="11">
        <v>260</v>
      </c>
      <c r="K371" s="11"/>
      <c r="L371" s="11"/>
      <c r="M371" s="8"/>
      <c r="N371" s="8"/>
      <c r="O371" s="11"/>
      <c r="P371" s="22">
        <v>0</v>
      </c>
      <c r="Q371" s="12"/>
      <c r="R371" s="11"/>
      <c r="S371" s="8">
        <v>50</v>
      </c>
      <c r="T371" s="12"/>
      <c r="U371" s="11" t="s">
        <v>857</v>
      </c>
      <c r="V371" s="11" t="s">
        <v>594</v>
      </c>
      <c r="W371" s="11"/>
      <c r="X371" s="11"/>
      <c r="Y371" s="11"/>
      <c r="Z371" s="8" t="s">
        <v>1443</v>
      </c>
      <c r="AA371" s="11" t="s">
        <v>1445</v>
      </c>
      <c r="AB371" s="9" t="s">
        <v>2347</v>
      </c>
      <c r="AC371" s="46" t="s">
        <v>2350</v>
      </c>
    </row>
    <row r="372" spans="1:29" ht="33.75" customHeight="1">
      <c r="A372" s="11"/>
      <c r="B372" s="8" t="s">
        <v>109</v>
      </c>
      <c r="C372" s="26">
        <v>348900</v>
      </c>
      <c r="D372" s="26">
        <v>493700</v>
      </c>
      <c r="E372" s="50" t="s">
        <v>2504</v>
      </c>
      <c r="F372" s="26">
        <v>54.336286000000001</v>
      </c>
      <c r="G372" s="26">
        <v>-2.7873993000000001</v>
      </c>
      <c r="H372" s="39" t="s">
        <v>1452</v>
      </c>
      <c r="I372" s="8" t="s">
        <v>1019</v>
      </c>
      <c r="J372" s="11">
        <v>140</v>
      </c>
      <c r="K372" s="11"/>
      <c r="L372" s="11"/>
      <c r="M372" s="8"/>
      <c r="N372" s="8"/>
      <c r="O372" s="11"/>
      <c r="P372" s="22">
        <v>0</v>
      </c>
      <c r="Q372" s="12"/>
      <c r="R372" s="11"/>
      <c r="S372" s="8">
        <v>45</v>
      </c>
      <c r="T372" s="12"/>
      <c r="U372" s="11"/>
      <c r="V372" s="11"/>
      <c r="W372" s="11"/>
      <c r="X372" s="11"/>
      <c r="Y372" s="11"/>
      <c r="Z372" s="58" t="s">
        <v>2517</v>
      </c>
      <c r="AA372" s="11" t="s">
        <v>1444</v>
      </c>
      <c r="AB372" s="9" t="s">
        <v>2347</v>
      </c>
      <c r="AC372" s="46" t="s">
        <v>2350</v>
      </c>
    </row>
    <row r="373" spans="1:29" ht="33.75" customHeight="1">
      <c r="A373" s="9"/>
      <c r="B373" s="8" t="s">
        <v>109</v>
      </c>
      <c r="C373" s="26">
        <v>333000</v>
      </c>
      <c r="D373" s="26">
        <v>481000</v>
      </c>
      <c r="E373" s="46" t="s">
        <v>2505</v>
      </c>
      <c r="F373" s="26">
        <v>54.220323</v>
      </c>
      <c r="G373" s="26">
        <v>-3.0290471999999999</v>
      </c>
      <c r="H373" s="10" t="s">
        <v>1385</v>
      </c>
      <c r="I373" s="8" t="s">
        <v>1384</v>
      </c>
      <c r="J373" s="9">
        <v>0</v>
      </c>
      <c r="K373" s="11" t="s">
        <v>1386</v>
      </c>
      <c r="L373" s="11"/>
      <c r="M373" s="8" t="s">
        <v>1387</v>
      </c>
      <c r="N373" s="8" t="s">
        <v>1388</v>
      </c>
      <c r="O373" s="11">
        <f>7875-3945</f>
        <v>3930</v>
      </c>
      <c r="P373" s="22">
        <v>3</v>
      </c>
      <c r="Q373" s="12"/>
      <c r="R373" s="11"/>
      <c r="S373" s="8">
        <v>40</v>
      </c>
      <c r="T373" s="12"/>
      <c r="U373" s="11" t="s">
        <v>908</v>
      </c>
      <c r="V373" s="11" t="s">
        <v>594</v>
      </c>
      <c r="W373" s="11"/>
      <c r="X373" s="9"/>
      <c r="Y373" s="9"/>
      <c r="Z373" s="8" t="s">
        <v>1394</v>
      </c>
      <c r="AA373" s="9"/>
      <c r="AB373" s="9" t="s">
        <v>2347</v>
      </c>
      <c r="AC373" s="46" t="s">
        <v>2350</v>
      </c>
    </row>
    <row r="374" spans="1:29" s="30" customFormat="1" ht="33.75" customHeight="1">
      <c r="A374" s="9"/>
      <c r="B374" s="8" t="s">
        <v>109</v>
      </c>
      <c r="C374" s="26">
        <v>333000</v>
      </c>
      <c r="D374" s="26">
        <v>481000</v>
      </c>
      <c r="E374" s="46" t="s">
        <v>2505</v>
      </c>
      <c r="F374" s="26">
        <v>54.220323</v>
      </c>
      <c r="G374" s="26">
        <v>-3.0290471999999999</v>
      </c>
      <c r="H374" s="10" t="s">
        <v>1385</v>
      </c>
      <c r="I374" s="8" t="s">
        <v>1384</v>
      </c>
      <c r="J374" s="9">
        <v>0</v>
      </c>
      <c r="K374" s="11" t="s">
        <v>1389</v>
      </c>
      <c r="L374" s="11"/>
      <c r="M374" s="8" t="s">
        <v>1390</v>
      </c>
      <c r="N374" s="8" t="s">
        <v>1391</v>
      </c>
      <c r="O374" s="11">
        <f>5660-4710</f>
        <v>950</v>
      </c>
      <c r="P374" s="22">
        <v>5</v>
      </c>
      <c r="Q374" s="12"/>
      <c r="R374" s="11"/>
      <c r="S374" s="8">
        <v>12</v>
      </c>
      <c r="T374" s="12"/>
      <c r="U374" s="11" t="s">
        <v>908</v>
      </c>
      <c r="V374" s="11" t="s">
        <v>594</v>
      </c>
      <c r="W374" s="11"/>
      <c r="X374" s="9"/>
      <c r="Y374" s="9"/>
      <c r="Z374" s="8" t="s">
        <v>1394</v>
      </c>
      <c r="AA374" s="9"/>
      <c r="AB374" s="9" t="s">
        <v>2347</v>
      </c>
      <c r="AC374" s="46" t="s">
        <v>2350</v>
      </c>
    </row>
    <row r="375" spans="1:29" s="30" customFormat="1" ht="33.75" customHeight="1">
      <c r="A375" s="9"/>
      <c r="B375" s="8" t="s">
        <v>109</v>
      </c>
      <c r="C375" s="26">
        <v>333000</v>
      </c>
      <c r="D375" s="26">
        <v>481000</v>
      </c>
      <c r="E375" s="46" t="s">
        <v>2505</v>
      </c>
      <c r="F375" s="26">
        <v>54.220323</v>
      </c>
      <c r="G375" s="26">
        <v>-3.0290471999999999</v>
      </c>
      <c r="H375" s="10" t="s">
        <v>1385</v>
      </c>
      <c r="I375" s="8" t="s">
        <v>1384</v>
      </c>
      <c r="J375" s="9">
        <v>0</v>
      </c>
      <c r="K375" s="11" t="s">
        <v>1392</v>
      </c>
      <c r="L375" s="11"/>
      <c r="M375" s="8"/>
      <c r="N375" s="8"/>
      <c r="O375" s="11"/>
      <c r="P375" s="22">
        <v>0</v>
      </c>
      <c r="Q375" s="12"/>
      <c r="R375" s="11"/>
      <c r="S375" s="8">
        <v>14</v>
      </c>
      <c r="T375" s="12"/>
      <c r="U375" s="11" t="s">
        <v>908</v>
      </c>
      <c r="V375" s="11" t="s">
        <v>594</v>
      </c>
      <c r="W375" s="11"/>
      <c r="X375" s="9"/>
      <c r="Y375" s="9"/>
      <c r="Z375" s="8" t="s">
        <v>1394</v>
      </c>
      <c r="AA375" s="9"/>
      <c r="AB375" s="9" t="s">
        <v>2347</v>
      </c>
      <c r="AC375" s="46" t="s">
        <v>2350</v>
      </c>
    </row>
    <row r="376" spans="1:29" ht="33.75" customHeight="1">
      <c r="A376" s="9"/>
      <c r="B376" s="8" t="s">
        <v>109</v>
      </c>
      <c r="C376" s="26">
        <v>333000</v>
      </c>
      <c r="D376" s="26">
        <v>481000</v>
      </c>
      <c r="E376" s="46" t="s">
        <v>2505</v>
      </c>
      <c r="F376" s="26">
        <v>54.220323</v>
      </c>
      <c r="G376" s="26">
        <v>-3.0290471999999999</v>
      </c>
      <c r="H376" s="10" t="s">
        <v>1385</v>
      </c>
      <c r="I376" s="8" t="s">
        <v>1384</v>
      </c>
      <c r="J376" s="9">
        <v>0</v>
      </c>
      <c r="K376" s="11" t="s">
        <v>1393</v>
      </c>
      <c r="L376" s="11"/>
      <c r="M376" s="8"/>
      <c r="N376" s="8"/>
      <c r="O376" s="11"/>
      <c r="P376" s="22">
        <v>0</v>
      </c>
      <c r="Q376" s="12"/>
      <c r="R376" s="11"/>
      <c r="S376" s="8">
        <v>23</v>
      </c>
      <c r="T376" s="12"/>
      <c r="U376" s="11" t="s">
        <v>908</v>
      </c>
      <c r="V376" s="11" t="s">
        <v>594</v>
      </c>
      <c r="W376" s="11"/>
      <c r="X376" s="9"/>
      <c r="Y376" s="9"/>
      <c r="Z376" s="8" t="s">
        <v>1394</v>
      </c>
      <c r="AA376" s="9"/>
      <c r="AB376" s="9" t="s">
        <v>2347</v>
      </c>
      <c r="AC376" s="46" t="s">
        <v>2350</v>
      </c>
    </row>
    <row r="377" spans="1:29" ht="33.75" customHeight="1">
      <c r="A377" s="9"/>
      <c r="B377" s="8" t="s">
        <v>109</v>
      </c>
      <c r="C377" s="26">
        <v>326500</v>
      </c>
      <c r="D377" s="26">
        <v>507000</v>
      </c>
      <c r="E377" s="46" t="s">
        <v>2502</v>
      </c>
      <c r="F377" s="26">
        <v>54.453049999999998</v>
      </c>
      <c r="G377" s="26">
        <v>-3.1351334</v>
      </c>
      <c r="H377" s="10" t="s">
        <v>1732</v>
      </c>
      <c r="I377" s="8" t="s">
        <v>1730</v>
      </c>
      <c r="J377" s="9">
        <v>200</v>
      </c>
      <c r="K377" s="11"/>
      <c r="L377" s="11"/>
      <c r="M377" s="8"/>
      <c r="N377" s="8"/>
      <c r="O377" s="11"/>
      <c r="P377" s="22">
        <v>0</v>
      </c>
      <c r="Q377" s="12"/>
      <c r="R377" s="11"/>
      <c r="S377" s="8">
        <v>50</v>
      </c>
      <c r="T377" s="12"/>
      <c r="U377" s="11" t="s">
        <v>1731</v>
      </c>
      <c r="V377" s="11" t="s">
        <v>594</v>
      </c>
      <c r="W377" s="11"/>
      <c r="X377" s="9"/>
      <c r="Y377" s="9"/>
      <c r="Z377" s="8" t="s">
        <v>1728</v>
      </c>
      <c r="AA377" s="9"/>
      <c r="AB377" s="9" t="s">
        <v>2347</v>
      </c>
      <c r="AC377" s="46" t="s">
        <v>2350</v>
      </c>
    </row>
    <row r="378" spans="1:29" ht="33.75" customHeight="1">
      <c r="A378" s="9"/>
      <c r="B378" s="8" t="s">
        <v>241</v>
      </c>
      <c r="C378" s="9">
        <v>443200</v>
      </c>
      <c r="D378" s="9">
        <v>536600</v>
      </c>
      <c r="E378" s="46" t="s">
        <v>2506</v>
      </c>
      <c r="F378" s="26">
        <v>54.722546999999999</v>
      </c>
      <c r="G378" s="26">
        <v>-1.3308237000000001</v>
      </c>
      <c r="H378" s="10" t="s">
        <v>1258</v>
      </c>
      <c r="I378" s="8" t="s">
        <v>236</v>
      </c>
      <c r="J378" s="9">
        <v>100</v>
      </c>
      <c r="K378" s="11"/>
      <c r="L378" s="11"/>
      <c r="M378" s="8"/>
      <c r="N378" s="8"/>
      <c r="O378" s="11"/>
      <c r="P378" s="22">
        <v>0</v>
      </c>
      <c r="Q378" s="12"/>
      <c r="R378" s="11"/>
      <c r="S378" s="8">
        <v>14</v>
      </c>
      <c r="T378" s="12"/>
      <c r="U378" s="11" t="s">
        <v>669</v>
      </c>
      <c r="V378" s="11"/>
      <c r="W378" s="11"/>
      <c r="X378" s="9"/>
      <c r="Y378" s="9"/>
      <c r="Z378" s="8" t="s">
        <v>1259</v>
      </c>
      <c r="AA378" s="9"/>
      <c r="AB378" s="9" t="s">
        <v>2347</v>
      </c>
      <c r="AC378" s="46" t="s">
        <v>2350</v>
      </c>
    </row>
    <row r="379" spans="1:29" ht="33.75" customHeight="1">
      <c r="A379" s="11"/>
      <c r="B379" s="8" t="s">
        <v>31</v>
      </c>
      <c r="C379" s="26">
        <v>618100</v>
      </c>
      <c r="D379" s="26">
        <v>342700</v>
      </c>
      <c r="E379" s="50" t="s">
        <v>2507</v>
      </c>
      <c r="F379" s="26">
        <v>52.937359999999998</v>
      </c>
      <c r="G379" s="26">
        <v>1.2441063999999999</v>
      </c>
      <c r="H379" s="38" t="s">
        <v>1533</v>
      </c>
      <c r="I379" s="8" t="s">
        <v>1531</v>
      </c>
      <c r="J379" s="11">
        <v>20</v>
      </c>
      <c r="K379" s="11"/>
      <c r="L379" s="11"/>
      <c r="M379" s="8"/>
      <c r="N379" s="8"/>
      <c r="O379" s="11"/>
      <c r="P379" s="22">
        <v>0</v>
      </c>
      <c r="Q379" s="12"/>
      <c r="R379" s="11"/>
      <c r="S379" s="8">
        <v>10</v>
      </c>
      <c r="T379" s="12"/>
      <c r="U379" s="11" t="s">
        <v>669</v>
      </c>
      <c r="V379" s="11"/>
      <c r="W379" s="11"/>
      <c r="X379" s="11"/>
      <c r="Y379" s="11"/>
      <c r="Z379" s="8" t="s">
        <v>1534</v>
      </c>
      <c r="AA379" s="11" t="s">
        <v>1532</v>
      </c>
      <c r="AB379" s="9" t="s">
        <v>2347</v>
      </c>
      <c r="AC379" s="46" t="s">
        <v>2350</v>
      </c>
    </row>
    <row r="380" spans="1:29" ht="33.75" customHeight="1">
      <c r="A380" s="11"/>
      <c r="B380" s="8" t="s">
        <v>31</v>
      </c>
      <c r="C380" s="26">
        <v>638953</v>
      </c>
      <c r="D380" s="26">
        <v>318337</v>
      </c>
      <c r="E380" s="50" t="s">
        <v>2408</v>
      </c>
      <c r="F380" s="26">
        <v>52.709902</v>
      </c>
      <c r="G380" s="26">
        <v>1.53599</v>
      </c>
      <c r="H380" s="38" t="s">
        <v>1628</v>
      </c>
      <c r="I380" s="8" t="s">
        <v>1573</v>
      </c>
      <c r="J380" s="11">
        <v>1</v>
      </c>
      <c r="K380" s="11"/>
      <c r="L380" s="11"/>
      <c r="M380" s="8"/>
      <c r="N380" s="8"/>
      <c r="O380" s="11"/>
      <c r="P380" s="22">
        <v>0</v>
      </c>
      <c r="Q380" s="12"/>
      <c r="R380" s="11"/>
      <c r="S380" s="8">
        <v>16</v>
      </c>
      <c r="T380" s="12"/>
      <c r="U380" s="11"/>
      <c r="V380" s="11" t="s">
        <v>593</v>
      </c>
      <c r="W380" s="11"/>
      <c r="X380" s="11"/>
      <c r="Y380" s="11"/>
      <c r="Z380" s="8" t="s">
        <v>1576</v>
      </c>
      <c r="AA380" s="11"/>
      <c r="AB380" s="9" t="s">
        <v>2347</v>
      </c>
      <c r="AC380" s="46" t="s">
        <v>2350</v>
      </c>
    </row>
    <row r="381" spans="1:29" ht="33.75" customHeight="1">
      <c r="A381" s="11"/>
      <c r="B381" s="8" t="s">
        <v>31</v>
      </c>
      <c r="C381" s="26">
        <v>629560</v>
      </c>
      <c r="D381" s="26">
        <v>305362</v>
      </c>
      <c r="E381" s="50" t="s">
        <v>2408</v>
      </c>
      <c r="F381" s="26">
        <v>52.597526999999999</v>
      </c>
      <c r="G381" s="26">
        <v>1.3881853</v>
      </c>
      <c r="H381" s="38" t="s">
        <v>1627</v>
      </c>
      <c r="I381" s="8" t="s">
        <v>1574</v>
      </c>
      <c r="J381" s="11">
        <v>30</v>
      </c>
      <c r="K381" s="11"/>
      <c r="L381" s="11"/>
      <c r="M381" s="8"/>
      <c r="N381" s="8"/>
      <c r="O381" s="11"/>
      <c r="P381" s="22">
        <v>0</v>
      </c>
      <c r="Q381" s="12"/>
      <c r="R381" s="11"/>
      <c r="S381" s="8">
        <v>5</v>
      </c>
      <c r="T381" s="12"/>
      <c r="U381" s="11"/>
      <c r="V381" s="11" t="s">
        <v>593</v>
      </c>
      <c r="W381" s="11"/>
      <c r="X381" s="11"/>
      <c r="Y381" s="11"/>
      <c r="Z381" s="8" t="s">
        <v>1576</v>
      </c>
      <c r="AA381" s="11"/>
      <c r="AB381" s="9" t="s">
        <v>2347</v>
      </c>
      <c r="AC381" s="46" t="s">
        <v>2350</v>
      </c>
    </row>
    <row r="382" spans="1:29" ht="24.75" customHeight="1">
      <c r="A382" s="9"/>
      <c r="B382" s="8" t="s">
        <v>109</v>
      </c>
      <c r="C382" s="41">
        <v>322700</v>
      </c>
      <c r="D382" s="41">
        <v>473500</v>
      </c>
      <c r="E382" s="46" t="s">
        <v>2508</v>
      </c>
      <c r="F382" s="41">
        <v>54.151479000000002</v>
      </c>
      <c r="G382" s="41">
        <v>-3.1850491000000001</v>
      </c>
      <c r="H382" s="10" t="s">
        <v>539</v>
      </c>
      <c r="I382" s="8" t="s">
        <v>538</v>
      </c>
      <c r="J382" s="9">
        <v>50</v>
      </c>
      <c r="K382" s="11"/>
      <c r="L382" s="11"/>
      <c r="M382" s="8"/>
      <c r="N382" s="8"/>
      <c r="O382" s="11"/>
      <c r="P382" s="22">
        <v>0</v>
      </c>
      <c r="Q382" s="12"/>
      <c r="R382" s="11"/>
      <c r="S382" s="8">
        <v>46</v>
      </c>
      <c r="T382" s="12"/>
      <c r="U382" s="11">
        <v>150</v>
      </c>
      <c r="V382" s="11"/>
      <c r="W382" s="11" t="s">
        <v>653</v>
      </c>
      <c r="X382" s="9" t="s">
        <v>654</v>
      </c>
      <c r="Y382" s="9" t="s">
        <v>655</v>
      </c>
      <c r="Z382" s="8" t="s">
        <v>540</v>
      </c>
      <c r="AA382" s="9"/>
      <c r="AB382" s="9" t="s">
        <v>2347</v>
      </c>
      <c r="AC382" s="46" t="s">
        <v>2350</v>
      </c>
    </row>
    <row r="383" spans="1:29" ht="33.75" customHeight="1">
      <c r="A383" s="9"/>
      <c r="B383" s="8" t="s">
        <v>109</v>
      </c>
      <c r="C383" s="26">
        <v>359000</v>
      </c>
      <c r="D383" s="26">
        <v>474000</v>
      </c>
      <c r="E383" s="46" t="s">
        <v>2509</v>
      </c>
      <c r="F383" s="26">
        <v>54.160161000000002</v>
      </c>
      <c r="G383" s="26">
        <v>-2.6293755000000001</v>
      </c>
      <c r="H383" s="10" t="s">
        <v>1220</v>
      </c>
      <c r="I383" s="8" t="s">
        <v>1219</v>
      </c>
      <c r="J383" s="9">
        <v>510</v>
      </c>
      <c r="K383" s="11" t="s">
        <v>1221</v>
      </c>
      <c r="L383" s="11"/>
      <c r="M383" s="8" t="s">
        <v>1223</v>
      </c>
      <c r="N383" s="8">
        <v>0</v>
      </c>
      <c r="O383" s="11">
        <f>840-0</f>
        <v>840</v>
      </c>
      <c r="P383" s="22">
        <v>10</v>
      </c>
      <c r="Q383" s="12">
        <f>P383/O383*1000</f>
        <v>11.904761904761903</v>
      </c>
      <c r="R383" s="11"/>
      <c r="S383" s="8">
        <v>55</v>
      </c>
      <c r="T383" s="12">
        <f>S383/(O383/1000)</f>
        <v>65.476190476190482</v>
      </c>
      <c r="U383" s="11" t="s">
        <v>669</v>
      </c>
      <c r="V383" s="11"/>
      <c r="W383" s="11"/>
      <c r="X383" s="9"/>
      <c r="Y383" s="9"/>
      <c r="Z383" s="8" t="s">
        <v>1227</v>
      </c>
      <c r="AA383" s="9" t="s">
        <v>1225</v>
      </c>
      <c r="AB383" s="9" t="s">
        <v>2347</v>
      </c>
      <c r="AC383" s="46" t="s">
        <v>2350</v>
      </c>
    </row>
    <row r="384" spans="1:29" ht="33.75" customHeight="1">
      <c r="A384" s="9"/>
      <c r="B384" s="8" t="s">
        <v>109</v>
      </c>
      <c r="C384" s="26">
        <v>359000</v>
      </c>
      <c r="D384" s="26">
        <v>474000</v>
      </c>
      <c r="E384" s="46" t="s">
        <v>2509</v>
      </c>
      <c r="F384" s="26">
        <v>54.160161000000002</v>
      </c>
      <c r="G384" s="26">
        <v>-2.6293755000000001</v>
      </c>
      <c r="H384" s="10" t="s">
        <v>1220</v>
      </c>
      <c r="I384" s="8" t="s">
        <v>1219</v>
      </c>
      <c r="J384" s="9">
        <v>510</v>
      </c>
      <c r="K384" s="11" t="s">
        <v>1222</v>
      </c>
      <c r="L384" s="11"/>
      <c r="M384" s="8" t="s">
        <v>1224</v>
      </c>
      <c r="N384" s="8">
        <v>0</v>
      </c>
      <c r="O384" s="11">
        <v>2105</v>
      </c>
      <c r="P384" s="22">
        <v>9</v>
      </c>
      <c r="Q384" s="12">
        <f>P384/O384*1000</f>
        <v>4.2755344418052257</v>
      </c>
      <c r="R384" s="11"/>
      <c r="S384" s="8">
        <v>46</v>
      </c>
      <c r="T384" s="12">
        <f>S384/(O384/1000)</f>
        <v>21.852731591448933</v>
      </c>
      <c r="U384" s="11" t="s">
        <v>669</v>
      </c>
      <c r="V384" s="11"/>
      <c r="W384" s="11"/>
      <c r="X384" s="9"/>
      <c r="Y384" s="9"/>
      <c r="Z384" s="8" t="s">
        <v>1227</v>
      </c>
      <c r="AA384" s="9" t="s">
        <v>1226</v>
      </c>
      <c r="AB384" s="9" t="s">
        <v>2347</v>
      </c>
      <c r="AC384" s="46" t="s">
        <v>2350</v>
      </c>
    </row>
    <row r="385" spans="1:29" ht="33.75" customHeight="1">
      <c r="A385" s="9"/>
      <c r="B385" s="8" t="s">
        <v>109</v>
      </c>
      <c r="C385" s="26">
        <v>336600</v>
      </c>
      <c r="D385" s="26">
        <v>500500</v>
      </c>
      <c r="E385" s="46" t="s">
        <v>2510</v>
      </c>
      <c r="F385" s="26">
        <v>54.396006</v>
      </c>
      <c r="G385" s="26">
        <v>-2.9779914999999999</v>
      </c>
      <c r="H385" s="26" t="s">
        <v>1382</v>
      </c>
      <c r="I385" s="8" t="s">
        <v>1378</v>
      </c>
      <c r="J385" s="9">
        <v>50</v>
      </c>
      <c r="K385" s="11" t="s">
        <v>1379</v>
      </c>
      <c r="L385" s="11"/>
      <c r="M385" s="8"/>
      <c r="N385" s="8"/>
      <c r="O385" s="11"/>
      <c r="P385" s="22">
        <v>0</v>
      </c>
      <c r="Q385" s="12"/>
      <c r="R385" s="11"/>
      <c r="S385" s="8">
        <v>10</v>
      </c>
      <c r="T385" s="12"/>
      <c r="U385" s="11" t="s">
        <v>669</v>
      </c>
      <c r="V385" s="11" t="s">
        <v>593</v>
      </c>
      <c r="W385" s="11"/>
      <c r="X385" s="9"/>
      <c r="Y385" s="9"/>
      <c r="Z385" s="8" t="s">
        <v>1383</v>
      </c>
      <c r="AA385" s="9"/>
      <c r="AB385" s="9" t="s">
        <v>2347</v>
      </c>
      <c r="AC385" s="46" t="s">
        <v>2350</v>
      </c>
    </row>
    <row r="386" spans="1:29" ht="33.75" customHeight="1">
      <c r="A386" s="9"/>
      <c r="B386" s="8" t="s">
        <v>109</v>
      </c>
      <c r="C386" s="26">
        <v>336600</v>
      </c>
      <c r="D386" s="26">
        <v>500500</v>
      </c>
      <c r="E386" s="46" t="s">
        <v>2510</v>
      </c>
      <c r="F386" s="26">
        <v>54.396006</v>
      </c>
      <c r="G386" s="26">
        <v>-2.9779914999999999</v>
      </c>
      <c r="H386" s="26" t="s">
        <v>1382</v>
      </c>
      <c r="I386" s="8" t="s">
        <v>1378</v>
      </c>
      <c r="J386" s="9">
        <v>50</v>
      </c>
      <c r="K386" s="11" t="s">
        <v>1380</v>
      </c>
      <c r="L386" s="11"/>
      <c r="M386" s="8"/>
      <c r="N386" s="8"/>
      <c r="O386" s="11"/>
      <c r="P386" s="22">
        <v>0</v>
      </c>
      <c r="Q386" s="12"/>
      <c r="R386" s="11"/>
      <c r="S386" s="8">
        <v>36</v>
      </c>
      <c r="T386" s="12"/>
      <c r="U386" s="11" t="s">
        <v>669</v>
      </c>
      <c r="V386" s="11" t="s">
        <v>593</v>
      </c>
      <c r="W386" s="11"/>
      <c r="X386" s="9"/>
      <c r="Y386" s="9"/>
      <c r="Z386" s="8" t="s">
        <v>1383</v>
      </c>
      <c r="AA386" s="9" t="s">
        <v>1381</v>
      </c>
      <c r="AB386" s="9" t="s">
        <v>2347</v>
      </c>
      <c r="AC386" s="46" t="s">
        <v>2350</v>
      </c>
    </row>
    <row r="387" spans="1:29" ht="33.75" customHeight="1">
      <c r="A387" s="9"/>
      <c r="B387" s="8" t="s">
        <v>31</v>
      </c>
      <c r="C387" s="9">
        <v>593400</v>
      </c>
      <c r="D387" s="9">
        <v>296700</v>
      </c>
      <c r="E387" s="46" t="s">
        <v>2511</v>
      </c>
      <c r="F387" s="9">
        <v>52.533816000000002</v>
      </c>
      <c r="G387" s="9">
        <v>0.84999471999999998</v>
      </c>
      <c r="H387" s="11" t="s">
        <v>641</v>
      </c>
      <c r="I387" s="8" t="s">
        <v>507</v>
      </c>
      <c r="J387" s="9">
        <v>46</v>
      </c>
      <c r="K387" s="11"/>
      <c r="L387" s="11" t="s">
        <v>2</v>
      </c>
      <c r="M387" s="8"/>
      <c r="N387" s="8"/>
      <c r="O387" s="11"/>
      <c r="P387" s="22">
        <v>0</v>
      </c>
      <c r="Q387" s="18"/>
      <c r="R387" s="11" t="s">
        <v>40</v>
      </c>
      <c r="S387" s="8">
        <v>22</v>
      </c>
      <c r="T387" s="12"/>
      <c r="U387" s="11"/>
      <c r="V387" s="11" t="s">
        <v>594</v>
      </c>
      <c r="W387" s="11" t="s">
        <v>645</v>
      </c>
      <c r="X387" s="9"/>
      <c r="Y387" s="9"/>
      <c r="Z387" s="8" t="s">
        <v>509</v>
      </c>
      <c r="AA387" s="9"/>
      <c r="AB387" s="9" t="s">
        <v>2347</v>
      </c>
      <c r="AC387" s="46" t="s">
        <v>2350</v>
      </c>
    </row>
    <row r="388" spans="1:29" ht="33.75" customHeight="1">
      <c r="A388" s="9"/>
      <c r="B388" s="8" t="s">
        <v>31</v>
      </c>
      <c r="C388" s="26">
        <v>568900</v>
      </c>
      <c r="D388" s="26">
        <v>298600</v>
      </c>
      <c r="E388" s="46" t="s">
        <v>2512</v>
      </c>
      <c r="F388" s="26">
        <v>52.559023000000003</v>
      </c>
      <c r="G388" s="26">
        <v>0.49013842000000002</v>
      </c>
      <c r="H388" s="10" t="s">
        <v>1457</v>
      </c>
      <c r="I388" s="8" t="s">
        <v>1126</v>
      </c>
      <c r="J388" s="9">
        <v>5</v>
      </c>
      <c r="K388" s="11"/>
      <c r="L388" s="11" t="s">
        <v>781</v>
      </c>
      <c r="M388" s="8"/>
      <c r="N388" s="8"/>
      <c r="O388" s="11"/>
      <c r="P388" s="22">
        <v>0</v>
      </c>
      <c r="Q388" s="12"/>
      <c r="R388" s="11"/>
      <c r="S388" s="8">
        <v>40</v>
      </c>
      <c r="T388" s="12"/>
      <c r="U388" s="11"/>
      <c r="V388" s="11"/>
      <c r="W388" s="11"/>
      <c r="X388" s="9"/>
      <c r="Y388" s="9"/>
      <c r="Z388" s="8" t="s">
        <v>1127</v>
      </c>
      <c r="AA388" s="9"/>
      <c r="AB388" s="9" t="s">
        <v>2347</v>
      </c>
      <c r="AC388" s="46" t="s">
        <v>2350</v>
      </c>
    </row>
    <row r="389" spans="1:29" ht="33.75" customHeight="1">
      <c r="A389" s="9"/>
      <c r="B389" s="8" t="s">
        <v>31</v>
      </c>
      <c r="C389" s="26">
        <v>627520</v>
      </c>
      <c r="D389" s="26">
        <v>284370</v>
      </c>
      <c r="E389" s="46" t="s">
        <v>2513</v>
      </c>
      <c r="F389" s="26">
        <v>52.409990999999998</v>
      </c>
      <c r="G389" s="26">
        <v>1.3437790000000001</v>
      </c>
      <c r="H389" s="10" t="s">
        <v>1198</v>
      </c>
      <c r="I389" s="8" t="s">
        <v>1197</v>
      </c>
      <c r="J389" s="9">
        <v>15</v>
      </c>
      <c r="K389" s="11"/>
      <c r="L389" s="11"/>
      <c r="M389" s="8"/>
      <c r="N389" s="8"/>
      <c r="O389" s="11"/>
      <c r="P389" s="22">
        <v>0</v>
      </c>
      <c r="Q389" s="12"/>
      <c r="R389" s="11"/>
      <c r="S389" s="8">
        <v>5</v>
      </c>
      <c r="T389" s="12"/>
      <c r="U389" s="11" t="s">
        <v>1178</v>
      </c>
      <c r="V389" s="11"/>
      <c r="W389" s="11"/>
      <c r="X389" s="9"/>
      <c r="Y389" s="9"/>
      <c r="Z389" s="8" t="s">
        <v>1199</v>
      </c>
      <c r="AA389" s="9"/>
      <c r="AB389" s="9" t="s">
        <v>2347</v>
      </c>
      <c r="AC389" s="46" t="s">
        <v>2350</v>
      </c>
    </row>
    <row r="390" spans="1:29" ht="33.75" customHeight="1">
      <c r="A390" s="9"/>
      <c r="B390" s="8" t="s">
        <v>31</v>
      </c>
      <c r="C390" s="26">
        <v>614800</v>
      </c>
      <c r="D390" s="26">
        <v>241400</v>
      </c>
      <c r="E390" s="46" t="s">
        <v>2514</v>
      </c>
      <c r="F390" s="26">
        <v>52.029395000000001</v>
      </c>
      <c r="G390" s="26">
        <v>1.1298144999999999</v>
      </c>
      <c r="H390" s="10" t="s">
        <v>1159</v>
      </c>
      <c r="I390" s="8" t="s">
        <v>1158</v>
      </c>
      <c r="J390" s="9">
        <v>4</v>
      </c>
      <c r="K390" s="11"/>
      <c r="L390" s="11" t="s">
        <v>1160</v>
      </c>
      <c r="M390" s="8"/>
      <c r="N390" s="8"/>
      <c r="O390" s="11"/>
      <c r="P390" s="22">
        <v>0</v>
      </c>
      <c r="Q390" s="12"/>
      <c r="R390" s="11"/>
      <c r="S390" s="8">
        <v>33</v>
      </c>
      <c r="T390" s="12"/>
      <c r="U390" s="11" t="s">
        <v>669</v>
      </c>
      <c r="V390" s="11"/>
      <c r="W390" s="11"/>
      <c r="X390" s="9"/>
      <c r="Y390" s="9"/>
      <c r="Z390" s="8" t="s">
        <v>1161</v>
      </c>
      <c r="AA390" s="9"/>
      <c r="AB390" s="9" t="s">
        <v>2347</v>
      </c>
      <c r="AC390" s="46" t="s">
        <v>2350</v>
      </c>
    </row>
    <row r="391" spans="1:29" ht="33.75" customHeight="1">
      <c r="A391" s="9"/>
      <c r="B391" s="8" t="s">
        <v>31</v>
      </c>
      <c r="C391" s="26">
        <v>631500</v>
      </c>
      <c r="D391" s="26">
        <v>336600</v>
      </c>
      <c r="E391" s="46" t="s">
        <v>2515</v>
      </c>
      <c r="F391" s="26">
        <v>52.877018</v>
      </c>
      <c r="G391" s="26">
        <v>1.4387892</v>
      </c>
      <c r="H391" s="10" t="s">
        <v>1208</v>
      </c>
      <c r="I391" s="8" t="s">
        <v>1204</v>
      </c>
      <c r="J391" s="9">
        <v>5</v>
      </c>
      <c r="K391" s="11" t="s">
        <v>841</v>
      </c>
      <c r="L391" s="11"/>
      <c r="M391" s="8"/>
      <c r="N391" s="8"/>
      <c r="O391" s="11"/>
      <c r="P391" s="22">
        <v>0</v>
      </c>
      <c r="Q391" s="12"/>
      <c r="R391" s="11"/>
      <c r="S391" s="8">
        <v>40</v>
      </c>
      <c r="T391" s="12"/>
      <c r="U391" s="11" t="s">
        <v>1209</v>
      </c>
      <c r="V391" s="11" t="s">
        <v>594</v>
      </c>
      <c r="W391" s="11"/>
      <c r="X391" s="9"/>
      <c r="Y391" s="9"/>
      <c r="Z391" s="8" t="s">
        <v>1218</v>
      </c>
      <c r="AA391" s="9"/>
      <c r="AB391" s="9" t="s">
        <v>2347</v>
      </c>
      <c r="AC391" s="46" t="s">
        <v>2350</v>
      </c>
    </row>
    <row r="392" spans="1:29" ht="33.75" customHeight="1">
      <c r="A392" s="9"/>
      <c r="B392" s="8" t="s">
        <v>31</v>
      </c>
      <c r="C392" s="26">
        <v>631500</v>
      </c>
      <c r="D392" s="26">
        <v>336600</v>
      </c>
      <c r="E392" s="46" t="s">
        <v>2515</v>
      </c>
      <c r="F392" s="26">
        <v>52.877018</v>
      </c>
      <c r="G392" s="26">
        <v>1.4387892</v>
      </c>
      <c r="H392" s="10" t="s">
        <v>1208</v>
      </c>
      <c r="I392" s="8" t="s">
        <v>1204</v>
      </c>
      <c r="J392" s="9">
        <v>5</v>
      </c>
      <c r="K392" s="11" t="s">
        <v>577</v>
      </c>
      <c r="L392" s="11"/>
      <c r="M392" s="8"/>
      <c r="N392" s="8"/>
      <c r="O392" s="11"/>
      <c r="P392" s="22">
        <v>0</v>
      </c>
      <c r="Q392" s="12"/>
      <c r="R392" s="11"/>
      <c r="S392" s="8">
        <v>18</v>
      </c>
      <c r="T392" s="12"/>
      <c r="U392" s="11" t="s">
        <v>1209</v>
      </c>
      <c r="V392" s="11" t="s">
        <v>594</v>
      </c>
      <c r="W392" s="11"/>
      <c r="X392" s="9"/>
      <c r="Y392" s="9"/>
      <c r="Z392" s="8" t="s">
        <v>1218</v>
      </c>
      <c r="AA392" s="9"/>
      <c r="AB392" s="9" t="s">
        <v>2347</v>
      </c>
      <c r="AC392" s="46" t="s">
        <v>2350</v>
      </c>
    </row>
    <row r="393" spans="1:29" ht="33.75" customHeight="1">
      <c r="A393" s="9"/>
      <c r="B393" s="8" t="s">
        <v>31</v>
      </c>
      <c r="C393" s="26">
        <v>598700</v>
      </c>
      <c r="D393" s="26">
        <v>318100</v>
      </c>
      <c r="E393" s="46" t="s">
        <v>2515</v>
      </c>
      <c r="F393" s="26">
        <v>52.724038</v>
      </c>
      <c r="G393" s="26">
        <v>0.94088811999999999</v>
      </c>
      <c r="H393" s="10" t="s">
        <v>1211</v>
      </c>
      <c r="I393" s="8" t="s">
        <v>1210</v>
      </c>
      <c r="J393" s="9">
        <v>40</v>
      </c>
      <c r="K393" s="11">
        <v>1</v>
      </c>
      <c r="L393" s="11"/>
      <c r="M393" s="8"/>
      <c r="N393" s="8"/>
      <c r="O393" s="11"/>
      <c r="P393" s="22">
        <v>0</v>
      </c>
      <c r="Q393" s="12"/>
      <c r="R393" s="11"/>
      <c r="S393" s="8">
        <v>36</v>
      </c>
      <c r="T393" s="12"/>
      <c r="U393" s="11" t="s">
        <v>1214</v>
      </c>
      <c r="V393" s="11"/>
      <c r="W393" s="11"/>
      <c r="X393" s="9"/>
      <c r="Y393" s="9"/>
      <c r="Z393" s="8" t="s">
        <v>1218</v>
      </c>
      <c r="AA393" s="9"/>
      <c r="AB393" s="9" t="s">
        <v>2347</v>
      </c>
      <c r="AC393" s="46" t="s">
        <v>2350</v>
      </c>
    </row>
    <row r="394" spans="1:29" ht="33.75" customHeight="1">
      <c r="A394" s="9"/>
      <c r="B394" s="8" t="s">
        <v>31</v>
      </c>
      <c r="C394" s="26">
        <v>601800</v>
      </c>
      <c r="D394" s="26">
        <v>319100</v>
      </c>
      <c r="E394" s="46" t="s">
        <v>2515</v>
      </c>
      <c r="F394" s="26">
        <v>52.731869000000003</v>
      </c>
      <c r="G394" s="26">
        <v>0.98733912000000001</v>
      </c>
      <c r="H394" s="10" t="s">
        <v>1212</v>
      </c>
      <c r="I394" s="8" t="s">
        <v>1205</v>
      </c>
      <c r="J394" s="9">
        <v>21</v>
      </c>
      <c r="K394" s="11"/>
      <c r="L394" s="11"/>
      <c r="M394" s="8"/>
      <c r="N394" s="8"/>
      <c r="O394" s="11"/>
      <c r="P394" s="22">
        <v>0</v>
      </c>
      <c r="Q394" s="12"/>
      <c r="R394" s="11"/>
      <c r="S394" s="8">
        <v>35</v>
      </c>
      <c r="T394" s="12"/>
      <c r="U394" s="11" t="s">
        <v>1213</v>
      </c>
      <c r="V394" s="11"/>
      <c r="W394" s="11"/>
      <c r="X394" s="9"/>
      <c r="Y394" s="9"/>
      <c r="Z394" s="8" t="s">
        <v>1218</v>
      </c>
      <c r="AA394" s="9"/>
      <c r="AB394" s="9" t="s">
        <v>2347</v>
      </c>
      <c r="AC394" s="46" t="s">
        <v>2350</v>
      </c>
    </row>
    <row r="395" spans="1:29" ht="33.75" customHeight="1">
      <c r="A395" s="9"/>
      <c r="B395" s="8" t="s">
        <v>31</v>
      </c>
      <c r="C395" s="26">
        <v>611100</v>
      </c>
      <c r="D395" s="26">
        <v>306900</v>
      </c>
      <c r="E395" s="46" t="s">
        <v>2515</v>
      </c>
      <c r="F395" s="26">
        <v>52.618811000000001</v>
      </c>
      <c r="G395" s="26">
        <v>1.1170488000000001</v>
      </c>
      <c r="H395" s="10" t="s">
        <v>1215</v>
      </c>
      <c r="I395" s="8" t="s">
        <v>1206</v>
      </c>
      <c r="J395" s="9">
        <v>20</v>
      </c>
      <c r="K395" s="11"/>
      <c r="L395" s="11"/>
      <c r="M395" s="8"/>
      <c r="N395" s="8"/>
      <c r="O395" s="11"/>
      <c r="P395" s="22">
        <v>0</v>
      </c>
      <c r="Q395" s="12"/>
      <c r="R395" s="11"/>
      <c r="S395" s="8">
        <v>33</v>
      </c>
      <c r="T395" s="12"/>
      <c r="U395" s="11" t="s">
        <v>904</v>
      </c>
      <c r="V395" s="11"/>
      <c r="W395" s="11"/>
      <c r="X395" s="9"/>
      <c r="Y395" s="9"/>
      <c r="Z395" s="8" t="s">
        <v>1218</v>
      </c>
      <c r="AA395" s="9"/>
      <c r="AB395" s="9" t="s">
        <v>2347</v>
      </c>
      <c r="AC395" s="46" t="s">
        <v>2350</v>
      </c>
    </row>
    <row r="396" spans="1:29" ht="33.75" customHeight="1">
      <c r="A396" s="9"/>
      <c r="B396" s="8" t="s">
        <v>31</v>
      </c>
      <c r="C396" s="26">
        <v>622700</v>
      </c>
      <c r="D396" s="26">
        <v>302600</v>
      </c>
      <c r="E396" s="46" t="s">
        <v>2515</v>
      </c>
      <c r="F396" s="26">
        <v>52.575589999999998</v>
      </c>
      <c r="G396" s="26">
        <v>1.2852205999999999</v>
      </c>
      <c r="H396" s="10" t="s">
        <v>1216</v>
      </c>
      <c r="I396" s="8" t="s">
        <v>1207</v>
      </c>
      <c r="J396" s="9">
        <v>10</v>
      </c>
      <c r="K396" s="11"/>
      <c r="L396" s="11"/>
      <c r="M396" s="8"/>
      <c r="N396" s="8"/>
      <c r="O396" s="11"/>
      <c r="P396" s="22">
        <v>0</v>
      </c>
      <c r="Q396" s="12"/>
      <c r="R396" s="11"/>
      <c r="S396" s="8">
        <v>16</v>
      </c>
      <c r="T396" s="12"/>
      <c r="U396" s="11" t="s">
        <v>1217</v>
      </c>
      <c r="V396" s="11"/>
      <c r="W396" s="11"/>
      <c r="X396" s="9"/>
      <c r="Y396" s="9"/>
      <c r="Z396" s="8" t="s">
        <v>1218</v>
      </c>
      <c r="AA396" s="9"/>
      <c r="AB396" s="9" t="s">
        <v>2347</v>
      </c>
      <c r="AC396" s="46" t="s">
        <v>2350</v>
      </c>
    </row>
    <row r="397" spans="1:29" ht="33.75" customHeight="1">
      <c r="A397" s="9"/>
      <c r="B397" s="25" t="s">
        <v>31</v>
      </c>
      <c r="C397" s="26">
        <v>605000</v>
      </c>
      <c r="D397" s="26">
        <v>292100</v>
      </c>
      <c r="E397" s="48" t="s">
        <v>2516</v>
      </c>
      <c r="F397" s="34">
        <v>52.488281960000002</v>
      </c>
      <c r="G397" s="34">
        <v>1.0179379740000001</v>
      </c>
      <c r="H397" s="26" t="s">
        <v>1336</v>
      </c>
      <c r="I397" s="8" t="s">
        <v>1337</v>
      </c>
      <c r="J397" s="9">
        <v>29</v>
      </c>
      <c r="K397" s="26">
        <v>2</v>
      </c>
      <c r="L397" s="9" t="s">
        <v>2</v>
      </c>
      <c r="M397" s="25"/>
      <c r="N397" s="25"/>
      <c r="O397" s="26"/>
      <c r="P397" s="22">
        <v>0</v>
      </c>
      <c r="Q397" s="26"/>
      <c r="R397" s="26"/>
      <c r="S397" s="8">
        <v>71</v>
      </c>
      <c r="T397" s="26"/>
      <c r="U397" s="26"/>
      <c r="V397" s="28" t="s">
        <v>593</v>
      </c>
      <c r="W397" s="28"/>
      <c r="X397" s="26"/>
      <c r="Y397" s="9" t="s">
        <v>1338</v>
      </c>
      <c r="Z397" s="25" t="s">
        <v>1339</v>
      </c>
      <c r="AA397" s="26"/>
      <c r="AB397" s="9" t="s">
        <v>2347</v>
      </c>
      <c r="AC397" s="46" t="s">
        <v>2350</v>
      </c>
    </row>
    <row r="398" spans="1:29" ht="33.75" customHeight="1">
      <c r="A398" s="19"/>
      <c r="B398" s="8" t="s">
        <v>109</v>
      </c>
      <c r="C398" s="26">
        <v>332800</v>
      </c>
      <c r="D398" s="26">
        <v>491800</v>
      </c>
      <c r="E398" s="9"/>
      <c r="F398" s="26">
        <v>54.317343000000001</v>
      </c>
      <c r="G398" s="26">
        <v>-3.0345420999999999</v>
      </c>
      <c r="H398" s="10" t="s">
        <v>1460</v>
      </c>
      <c r="I398" s="8" t="s">
        <v>1017</v>
      </c>
      <c r="J398" s="9">
        <v>160</v>
      </c>
      <c r="K398" s="11"/>
      <c r="L398" s="11"/>
      <c r="M398" s="8"/>
      <c r="N398" s="8"/>
      <c r="O398" s="11"/>
      <c r="P398" s="22">
        <v>0</v>
      </c>
      <c r="Q398" s="12"/>
      <c r="R398" s="11"/>
      <c r="S398" s="8">
        <v>127</v>
      </c>
      <c r="T398" s="12"/>
      <c r="U398" s="11" t="s">
        <v>834</v>
      </c>
      <c r="V398" s="11" t="s">
        <v>594</v>
      </c>
      <c r="W398" s="11"/>
      <c r="X398" s="9"/>
      <c r="Y398" s="9"/>
      <c r="Z398" s="8"/>
      <c r="AA398" s="9"/>
      <c r="AB398" s="9" t="s">
        <v>2347</v>
      </c>
      <c r="AC398" s="46" t="s">
        <v>2350</v>
      </c>
    </row>
    <row r="399" spans="1:29" ht="33.75" customHeight="1">
      <c r="A399" s="9"/>
      <c r="B399" s="8" t="s">
        <v>109</v>
      </c>
      <c r="C399" s="26">
        <v>334600</v>
      </c>
      <c r="D399" s="26">
        <v>494400</v>
      </c>
      <c r="E399" s="46" t="s">
        <v>2504</v>
      </c>
      <c r="F399" s="26">
        <v>54.340940000000003</v>
      </c>
      <c r="G399" s="26">
        <v>-3.0074472999999999</v>
      </c>
      <c r="H399" s="10" t="s">
        <v>1461</v>
      </c>
      <c r="I399" s="8" t="s">
        <v>1018</v>
      </c>
      <c r="J399" s="9">
        <v>212</v>
      </c>
      <c r="K399" s="11"/>
      <c r="L399" s="11"/>
      <c r="M399" s="8"/>
      <c r="N399" s="8"/>
      <c r="O399" s="11"/>
      <c r="P399" s="22">
        <v>0</v>
      </c>
      <c r="Q399" s="12"/>
      <c r="R399" s="11"/>
      <c r="S399" s="8">
        <v>100</v>
      </c>
      <c r="T399" s="12"/>
      <c r="U399" s="11"/>
      <c r="V399" s="11" t="s">
        <v>594</v>
      </c>
      <c r="W399" s="11"/>
      <c r="X399" s="9"/>
      <c r="Y399" s="9"/>
      <c r="Z399" s="58" t="s">
        <v>2517</v>
      </c>
      <c r="AA399" s="9"/>
      <c r="AB399" s="9" t="s">
        <v>2347</v>
      </c>
      <c r="AC399" s="46" t="s">
        <v>2350</v>
      </c>
    </row>
    <row r="400" spans="1:29" ht="33.75" customHeight="1">
      <c r="A400" s="9"/>
      <c r="B400" s="8" t="s">
        <v>398</v>
      </c>
      <c r="C400" s="26">
        <v>617500</v>
      </c>
      <c r="D400" s="26">
        <v>276700</v>
      </c>
      <c r="E400" s="46" t="s">
        <v>2518</v>
      </c>
      <c r="F400" s="26">
        <v>52.345216000000001</v>
      </c>
      <c r="G400" s="26">
        <v>1.1917378999999999</v>
      </c>
      <c r="H400" s="10" t="s">
        <v>1182</v>
      </c>
      <c r="I400" s="8" t="s">
        <v>1181</v>
      </c>
      <c r="J400" s="9">
        <v>40</v>
      </c>
      <c r="K400" s="11" t="s">
        <v>1188</v>
      </c>
      <c r="L400" s="11"/>
      <c r="M400" s="8"/>
      <c r="N400" s="8"/>
      <c r="O400" s="11"/>
      <c r="P400" s="22">
        <v>0</v>
      </c>
      <c r="Q400" s="12"/>
      <c r="R400" s="11"/>
      <c r="S400" s="8">
        <v>100</v>
      </c>
      <c r="T400" s="12"/>
      <c r="U400" s="11" t="s">
        <v>669</v>
      </c>
      <c r="V400" s="11"/>
      <c r="W400" s="11"/>
      <c r="X400" s="9"/>
      <c r="Y400" s="9"/>
      <c r="Z400" s="8" t="s">
        <v>1194</v>
      </c>
      <c r="AA400" s="9"/>
      <c r="AB400" s="9" t="s">
        <v>2347</v>
      </c>
      <c r="AC400" s="46" t="s">
        <v>2350</v>
      </c>
    </row>
    <row r="401" spans="1:29" ht="33.75" customHeight="1">
      <c r="A401" s="9"/>
      <c r="B401" s="8" t="s">
        <v>398</v>
      </c>
      <c r="C401" s="26">
        <v>617500</v>
      </c>
      <c r="D401" s="26">
        <v>276700</v>
      </c>
      <c r="E401" s="46" t="s">
        <v>2518</v>
      </c>
      <c r="F401" s="26">
        <v>52.345216000000001</v>
      </c>
      <c r="G401" s="26">
        <v>1.1917378999999999</v>
      </c>
      <c r="H401" s="10" t="s">
        <v>1182</v>
      </c>
      <c r="I401" s="8" t="s">
        <v>1181</v>
      </c>
      <c r="J401" s="9">
        <v>40</v>
      </c>
      <c r="K401" s="11" t="s">
        <v>1183</v>
      </c>
      <c r="L401" s="11"/>
      <c r="M401" s="8"/>
      <c r="N401" s="8"/>
      <c r="O401" s="11"/>
      <c r="P401" s="22">
        <v>0</v>
      </c>
      <c r="Q401" s="12"/>
      <c r="R401" s="11"/>
      <c r="S401" s="8">
        <v>11</v>
      </c>
      <c r="T401" s="12"/>
      <c r="U401" s="11" t="s">
        <v>669</v>
      </c>
      <c r="V401" s="11"/>
      <c r="W401" s="11"/>
      <c r="X401" s="9"/>
      <c r="Y401" s="9"/>
      <c r="Z401" s="8" t="s">
        <v>1194</v>
      </c>
      <c r="AA401" s="9"/>
      <c r="AB401" s="9" t="s">
        <v>2347</v>
      </c>
      <c r="AC401" s="46" t="s">
        <v>2350</v>
      </c>
    </row>
    <row r="402" spans="1:29" ht="33.75" customHeight="1">
      <c r="A402" s="9"/>
      <c r="B402" s="8" t="s">
        <v>398</v>
      </c>
      <c r="C402" s="26">
        <v>617500</v>
      </c>
      <c r="D402" s="26">
        <v>276700</v>
      </c>
      <c r="E402" s="46" t="s">
        <v>2518</v>
      </c>
      <c r="F402" s="26">
        <v>52.345216000000001</v>
      </c>
      <c r="G402" s="26">
        <v>1.1917378999999999</v>
      </c>
      <c r="H402" s="10" t="s">
        <v>1182</v>
      </c>
      <c r="I402" s="8" t="s">
        <v>1181</v>
      </c>
      <c r="J402" s="9">
        <v>40</v>
      </c>
      <c r="K402" s="11" t="s">
        <v>1184</v>
      </c>
      <c r="L402" s="11"/>
      <c r="M402" s="8"/>
      <c r="N402" s="8"/>
      <c r="O402" s="11"/>
      <c r="P402" s="22">
        <v>0</v>
      </c>
      <c r="Q402" s="12"/>
      <c r="R402" s="11"/>
      <c r="S402" s="8">
        <v>18</v>
      </c>
      <c r="T402" s="12"/>
      <c r="U402" s="11" t="s">
        <v>669</v>
      </c>
      <c r="V402" s="11"/>
      <c r="W402" s="11"/>
      <c r="X402" s="9"/>
      <c r="Y402" s="9"/>
      <c r="Z402" s="8" t="s">
        <v>1194</v>
      </c>
      <c r="AA402" s="9"/>
      <c r="AB402" s="9" t="s">
        <v>2347</v>
      </c>
      <c r="AC402" s="46" t="s">
        <v>2350</v>
      </c>
    </row>
    <row r="403" spans="1:29" ht="33.75" customHeight="1">
      <c r="A403" s="9"/>
      <c r="B403" s="8" t="s">
        <v>398</v>
      </c>
      <c r="C403" s="26">
        <v>617500</v>
      </c>
      <c r="D403" s="26">
        <v>276700</v>
      </c>
      <c r="E403" s="46" t="s">
        <v>2518</v>
      </c>
      <c r="F403" s="26">
        <v>52.345216000000001</v>
      </c>
      <c r="G403" s="26">
        <v>1.1917378999999999</v>
      </c>
      <c r="H403" s="10" t="s">
        <v>1182</v>
      </c>
      <c r="I403" s="8" t="s">
        <v>1181</v>
      </c>
      <c r="J403" s="9">
        <v>40</v>
      </c>
      <c r="K403" s="11" t="s">
        <v>1185</v>
      </c>
      <c r="L403" s="11"/>
      <c r="M403" s="8"/>
      <c r="N403" s="8"/>
      <c r="O403" s="11"/>
      <c r="P403" s="22">
        <v>0</v>
      </c>
      <c r="Q403" s="12"/>
      <c r="R403" s="11"/>
      <c r="S403" s="8">
        <v>7</v>
      </c>
      <c r="T403" s="12"/>
      <c r="U403" s="11" t="s">
        <v>669</v>
      </c>
      <c r="V403" s="11"/>
      <c r="W403" s="11"/>
      <c r="X403" s="9"/>
      <c r="Y403" s="9"/>
      <c r="Z403" s="8" t="s">
        <v>1194</v>
      </c>
      <c r="AA403" s="9"/>
      <c r="AB403" s="9" t="s">
        <v>2347</v>
      </c>
      <c r="AC403" s="46" t="s">
        <v>2350</v>
      </c>
    </row>
    <row r="404" spans="1:29" ht="33.75" customHeight="1">
      <c r="A404" s="9"/>
      <c r="B404" s="8" t="s">
        <v>398</v>
      </c>
      <c r="C404" s="26">
        <v>617500</v>
      </c>
      <c r="D404" s="26">
        <v>276700</v>
      </c>
      <c r="E404" s="46" t="s">
        <v>2518</v>
      </c>
      <c r="F404" s="26">
        <v>52.345216000000001</v>
      </c>
      <c r="G404" s="26">
        <v>1.1917378999999999</v>
      </c>
      <c r="H404" s="10" t="s">
        <v>1182</v>
      </c>
      <c r="I404" s="8" t="s">
        <v>1181</v>
      </c>
      <c r="J404" s="9">
        <v>40</v>
      </c>
      <c r="K404" s="11" t="s">
        <v>1186</v>
      </c>
      <c r="L404" s="11"/>
      <c r="M404" s="8"/>
      <c r="N404" s="8"/>
      <c r="O404" s="11"/>
      <c r="P404" s="22">
        <v>0</v>
      </c>
      <c r="Q404" s="12"/>
      <c r="R404" s="11"/>
      <c r="S404" s="8">
        <v>14</v>
      </c>
      <c r="T404" s="12"/>
      <c r="U404" s="11" t="s">
        <v>669</v>
      </c>
      <c r="V404" s="11"/>
      <c r="W404" s="11"/>
      <c r="X404" s="9"/>
      <c r="Y404" s="9"/>
      <c r="Z404" s="8" t="s">
        <v>1194</v>
      </c>
      <c r="AA404" s="9"/>
      <c r="AB404" s="9" t="s">
        <v>2347</v>
      </c>
      <c r="AC404" s="46" t="s">
        <v>2350</v>
      </c>
    </row>
    <row r="405" spans="1:29" ht="33.75" customHeight="1">
      <c r="A405" s="9"/>
      <c r="B405" s="8" t="s">
        <v>398</v>
      </c>
      <c r="C405" s="26">
        <v>617500</v>
      </c>
      <c r="D405" s="26">
        <v>276700</v>
      </c>
      <c r="E405" s="46" t="s">
        <v>2518</v>
      </c>
      <c r="F405" s="26">
        <v>52.345216000000001</v>
      </c>
      <c r="G405" s="26">
        <v>1.1917378999999999</v>
      </c>
      <c r="H405" s="10" t="s">
        <v>1182</v>
      </c>
      <c r="I405" s="8" t="s">
        <v>1181</v>
      </c>
      <c r="J405" s="9">
        <v>40</v>
      </c>
      <c r="K405" s="11" t="s">
        <v>1187</v>
      </c>
      <c r="L405" s="11"/>
      <c r="M405" s="8"/>
      <c r="N405" s="8"/>
      <c r="O405" s="11"/>
      <c r="P405" s="22">
        <v>0</v>
      </c>
      <c r="Q405" s="12"/>
      <c r="R405" s="11"/>
      <c r="S405" s="8">
        <v>12</v>
      </c>
      <c r="T405" s="12"/>
      <c r="U405" s="11" t="s">
        <v>669</v>
      </c>
      <c r="V405" s="11"/>
      <c r="W405" s="11"/>
      <c r="X405" s="9"/>
      <c r="Y405" s="9"/>
      <c r="Z405" s="8" t="s">
        <v>1194</v>
      </c>
      <c r="AA405" s="9"/>
      <c r="AB405" s="9" t="s">
        <v>2347</v>
      </c>
      <c r="AC405" s="46" t="s">
        <v>2350</v>
      </c>
    </row>
    <row r="406" spans="1:29" ht="33.75" customHeight="1">
      <c r="A406" s="9"/>
      <c r="B406" s="8" t="s">
        <v>398</v>
      </c>
      <c r="C406" s="26">
        <v>617500</v>
      </c>
      <c r="D406" s="26">
        <v>276700</v>
      </c>
      <c r="E406" s="46" t="s">
        <v>2518</v>
      </c>
      <c r="F406" s="26">
        <v>52.345216000000001</v>
      </c>
      <c r="G406" s="26">
        <v>1.1917378999999999</v>
      </c>
      <c r="H406" s="10" t="s">
        <v>1182</v>
      </c>
      <c r="I406" s="8" t="s">
        <v>1181</v>
      </c>
      <c r="J406" s="9">
        <v>40</v>
      </c>
      <c r="K406" s="11" t="s">
        <v>1189</v>
      </c>
      <c r="L406" s="11"/>
      <c r="M406" s="8"/>
      <c r="N406" s="8"/>
      <c r="O406" s="11"/>
      <c r="P406" s="22">
        <v>0</v>
      </c>
      <c r="Q406" s="12"/>
      <c r="R406" s="11"/>
      <c r="S406" s="8">
        <v>20</v>
      </c>
      <c r="T406" s="12"/>
      <c r="U406" s="11" t="s">
        <v>669</v>
      </c>
      <c r="V406" s="11"/>
      <c r="W406" s="11"/>
      <c r="X406" s="9"/>
      <c r="Y406" s="9"/>
      <c r="Z406" s="8" t="s">
        <v>1194</v>
      </c>
      <c r="AA406" s="9"/>
      <c r="AB406" s="9" t="s">
        <v>2347</v>
      </c>
      <c r="AC406" s="46" t="s">
        <v>2350</v>
      </c>
    </row>
    <row r="407" spans="1:29" ht="33.75" customHeight="1">
      <c r="A407" s="9"/>
      <c r="B407" s="8" t="s">
        <v>398</v>
      </c>
      <c r="C407" s="26">
        <v>617500</v>
      </c>
      <c r="D407" s="26">
        <v>276700</v>
      </c>
      <c r="E407" s="46" t="s">
        <v>2518</v>
      </c>
      <c r="F407" s="26">
        <v>52.345216000000001</v>
      </c>
      <c r="G407" s="26">
        <v>1.1917378999999999</v>
      </c>
      <c r="H407" s="10" t="s">
        <v>1182</v>
      </c>
      <c r="I407" s="8" t="s">
        <v>1181</v>
      </c>
      <c r="J407" s="9">
        <v>40</v>
      </c>
      <c r="K407" s="11" t="s">
        <v>1190</v>
      </c>
      <c r="L407" s="11"/>
      <c r="M407" s="8"/>
      <c r="N407" s="8"/>
      <c r="O407" s="11"/>
      <c r="P407" s="22">
        <v>0</v>
      </c>
      <c r="Q407" s="12"/>
      <c r="R407" s="11"/>
      <c r="S407" s="8">
        <v>16</v>
      </c>
      <c r="T407" s="12"/>
      <c r="U407" s="11" t="s">
        <v>669</v>
      </c>
      <c r="V407" s="11"/>
      <c r="W407" s="11"/>
      <c r="X407" s="9"/>
      <c r="Y407" s="9"/>
      <c r="Z407" s="8" t="s">
        <v>1194</v>
      </c>
      <c r="AA407" s="9"/>
      <c r="AB407" s="9" t="s">
        <v>2347</v>
      </c>
      <c r="AC407" s="46" t="s">
        <v>2350</v>
      </c>
    </row>
    <row r="408" spans="1:29" ht="33.75" customHeight="1">
      <c r="A408" s="9"/>
      <c r="B408" s="8" t="s">
        <v>398</v>
      </c>
      <c r="C408" s="26">
        <v>617500</v>
      </c>
      <c r="D408" s="26">
        <v>276700</v>
      </c>
      <c r="E408" s="46" t="s">
        <v>2518</v>
      </c>
      <c r="F408" s="26">
        <v>52.345216000000001</v>
      </c>
      <c r="G408" s="26">
        <v>1.1917378999999999</v>
      </c>
      <c r="H408" s="10" t="s">
        <v>1182</v>
      </c>
      <c r="I408" s="8" t="s">
        <v>1181</v>
      </c>
      <c r="J408" s="9">
        <v>40</v>
      </c>
      <c r="K408" s="11" t="s">
        <v>1191</v>
      </c>
      <c r="L408" s="11"/>
      <c r="M408" s="8"/>
      <c r="N408" s="8"/>
      <c r="O408" s="11"/>
      <c r="P408" s="22">
        <v>0</v>
      </c>
      <c r="Q408" s="12"/>
      <c r="R408" s="11"/>
      <c r="S408" s="8">
        <v>4</v>
      </c>
      <c r="T408" s="12"/>
      <c r="U408" s="11" t="s">
        <v>669</v>
      </c>
      <c r="V408" s="11"/>
      <c r="W408" s="11"/>
      <c r="X408" s="9"/>
      <c r="Y408" s="9"/>
      <c r="Z408" s="8" t="s">
        <v>1194</v>
      </c>
      <c r="AA408" s="9"/>
      <c r="AB408" s="9" t="s">
        <v>2347</v>
      </c>
      <c r="AC408" s="46" t="s">
        <v>2350</v>
      </c>
    </row>
    <row r="409" spans="1:29" ht="33.75" customHeight="1">
      <c r="A409" s="9"/>
      <c r="B409" s="8" t="s">
        <v>398</v>
      </c>
      <c r="C409" s="26">
        <v>617500</v>
      </c>
      <c r="D409" s="26">
        <v>276700</v>
      </c>
      <c r="E409" s="46" t="s">
        <v>2518</v>
      </c>
      <c r="F409" s="26">
        <v>52.345216000000001</v>
      </c>
      <c r="G409" s="26">
        <v>1.1917378999999999</v>
      </c>
      <c r="H409" s="10" t="s">
        <v>1182</v>
      </c>
      <c r="I409" s="8" t="s">
        <v>1181</v>
      </c>
      <c r="J409" s="9">
        <v>40</v>
      </c>
      <c r="K409" s="11" t="s">
        <v>1192</v>
      </c>
      <c r="L409" s="11"/>
      <c r="M409" s="8"/>
      <c r="N409" s="8"/>
      <c r="O409" s="11"/>
      <c r="P409" s="22">
        <v>0</v>
      </c>
      <c r="Q409" s="12"/>
      <c r="R409" s="11"/>
      <c r="S409" s="8">
        <v>12</v>
      </c>
      <c r="T409" s="12"/>
      <c r="U409" s="11" t="s">
        <v>669</v>
      </c>
      <c r="V409" s="11"/>
      <c r="W409" s="11"/>
      <c r="X409" s="9"/>
      <c r="Y409" s="9"/>
      <c r="Z409" s="8" t="s">
        <v>1194</v>
      </c>
      <c r="AA409" s="9"/>
      <c r="AB409" s="9" t="s">
        <v>2347</v>
      </c>
      <c r="AC409" s="46" t="s">
        <v>2350</v>
      </c>
    </row>
    <row r="410" spans="1:29" ht="33.75" customHeight="1">
      <c r="A410" s="9"/>
      <c r="B410" s="8" t="s">
        <v>398</v>
      </c>
      <c r="C410" s="26">
        <v>617500</v>
      </c>
      <c r="D410" s="26">
        <v>276700</v>
      </c>
      <c r="E410" s="46" t="s">
        <v>2518</v>
      </c>
      <c r="F410" s="26">
        <v>52.345216000000001</v>
      </c>
      <c r="G410" s="26">
        <v>1.1917378999999999</v>
      </c>
      <c r="H410" s="10" t="s">
        <v>1182</v>
      </c>
      <c r="I410" s="8" t="s">
        <v>1181</v>
      </c>
      <c r="J410" s="9">
        <v>40</v>
      </c>
      <c r="K410" s="11" t="s">
        <v>1193</v>
      </c>
      <c r="L410" s="11"/>
      <c r="M410" s="8"/>
      <c r="N410" s="8"/>
      <c r="O410" s="11"/>
      <c r="P410" s="22">
        <v>0</v>
      </c>
      <c r="Q410" s="12"/>
      <c r="R410" s="11"/>
      <c r="S410" s="8">
        <v>5</v>
      </c>
      <c r="T410" s="12"/>
      <c r="U410" s="11" t="s">
        <v>669</v>
      </c>
      <c r="V410" s="11"/>
      <c r="W410" s="11"/>
      <c r="X410" s="9"/>
      <c r="Y410" s="9"/>
      <c r="Z410" s="8" t="s">
        <v>1194</v>
      </c>
      <c r="AA410" s="9"/>
      <c r="AB410" s="9" t="s">
        <v>2347</v>
      </c>
      <c r="AC410" s="46" t="s">
        <v>2350</v>
      </c>
    </row>
    <row r="411" spans="1:29" ht="33.75" customHeight="1">
      <c r="A411" s="9"/>
      <c r="B411" s="8" t="s">
        <v>398</v>
      </c>
      <c r="C411" s="9">
        <v>600500</v>
      </c>
      <c r="D411" s="9">
        <v>279200</v>
      </c>
      <c r="E411" s="46" t="s">
        <v>2511</v>
      </c>
      <c r="F411" s="9">
        <v>52.374135000000003</v>
      </c>
      <c r="G411" s="9">
        <v>0.94402231000000003</v>
      </c>
      <c r="H411" s="11" t="s">
        <v>642</v>
      </c>
      <c r="I411" s="8" t="s">
        <v>508</v>
      </c>
      <c r="J411" s="9">
        <v>30</v>
      </c>
      <c r="K411" s="11"/>
      <c r="L411" s="11" t="s">
        <v>2</v>
      </c>
      <c r="M411" s="8"/>
      <c r="N411" s="8"/>
      <c r="O411" s="11"/>
      <c r="P411" s="22">
        <v>0</v>
      </c>
      <c r="Q411" s="18"/>
      <c r="R411" s="11" t="s">
        <v>40</v>
      </c>
      <c r="S411" s="8">
        <v>20</v>
      </c>
      <c r="T411" s="12"/>
      <c r="U411" s="11">
        <v>600</v>
      </c>
      <c r="V411" s="11" t="s">
        <v>594</v>
      </c>
      <c r="W411" s="11" t="s">
        <v>645</v>
      </c>
      <c r="X411" s="9"/>
      <c r="Y411" s="9"/>
      <c r="Z411" s="8" t="s">
        <v>509</v>
      </c>
      <c r="AA411" s="9"/>
      <c r="AB411" s="9" t="s">
        <v>2347</v>
      </c>
      <c r="AC411" s="46" t="s">
        <v>2350</v>
      </c>
    </row>
    <row r="412" spans="1:29" ht="33.75" customHeight="1">
      <c r="A412" s="11"/>
      <c r="B412" s="8" t="s">
        <v>398</v>
      </c>
      <c r="C412" s="26">
        <v>614892</v>
      </c>
      <c r="D412" s="26">
        <v>233194</v>
      </c>
      <c r="E412" s="46" t="s">
        <v>2519</v>
      </c>
      <c r="F412" s="26">
        <v>51.955691000000002</v>
      </c>
      <c r="G412" s="26">
        <v>1.1260146</v>
      </c>
      <c r="H412" s="10" t="s">
        <v>1202</v>
      </c>
      <c r="I412" s="8" t="s">
        <v>1200</v>
      </c>
      <c r="J412" s="9">
        <v>5</v>
      </c>
      <c r="K412" s="11" t="s">
        <v>1201</v>
      </c>
      <c r="L412" s="11"/>
      <c r="M412" s="8"/>
      <c r="N412" s="8"/>
      <c r="O412" s="11"/>
      <c r="P412" s="22">
        <v>0</v>
      </c>
      <c r="Q412" s="12"/>
      <c r="R412" s="11"/>
      <c r="S412" s="8">
        <v>1</v>
      </c>
      <c r="T412" s="12"/>
      <c r="U412" s="11" t="s">
        <v>669</v>
      </c>
      <c r="V412" s="11"/>
      <c r="W412" s="11"/>
      <c r="X412" s="9"/>
      <c r="Y412" s="9"/>
      <c r="Z412" s="8" t="s">
        <v>1203</v>
      </c>
      <c r="AA412" s="9"/>
      <c r="AB412" s="9" t="s">
        <v>2347</v>
      </c>
      <c r="AC412" s="46" t="s">
        <v>2350</v>
      </c>
    </row>
    <row r="413" spans="1:29" ht="33.75" customHeight="1">
      <c r="A413" s="11">
        <v>34</v>
      </c>
      <c r="B413" s="25" t="s">
        <v>124</v>
      </c>
      <c r="C413" s="9">
        <v>426300</v>
      </c>
      <c r="D413" s="9">
        <v>616900</v>
      </c>
      <c r="E413" s="46" t="s">
        <v>2520</v>
      </c>
      <c r="F413" s="26">
        <v>55.440804</v>
      </c>
      <c r="G413" s="26">
        <v>-1.5937574999999999</v>
      </c>
      <c r="H413" s="10" t="s">
        <v>292</v>
      </c>
      <c r="I413" s="8" t="s">
        <v>326</v>
      </c>
      <c r="J413" s="9">
        <v>4</v>
      </c>
      <c r="K413" s="11" t="s">
        <v>1501</v>
      </c>
      <c r="L413" s="11" t="s">
        <v>123</v>
      </c>
      <c r="M413" s="8" t="s">
        <v>1503</v>
      </c>
      <c r="N413" s="8" t="s">
        <v>1502</v>
      </c>
      <c r="O413" s="11">
        <v>7448</v>
      </c>
      <c r="P413" s="22">
        <v>13</v>
      </c>
      <c r="Q413" s="12">
        <f>P413/O413*1000</f>
        <v>1.745435016111708</v>
      </c>
      <c r="R413" s="11" t="s">
        <v>40</v>
      </c>
      <c r="S413" s="8">
        <v>33</v>
      </c>
      <c r="T413" s="12">
        <f>S413/(O413/1000)</f>
        <v>4.430719656283566</v>
      </c>
      <c r="U413" s="11" t="s">
        <v>858</v>
      </c>
      <c r="V413" s="11"/>
      <c r="W413" s="11" t="s">
        <v>125</v>
      </c>
      <c r="X413" s="9" t="s">
        <v>122</v>
      </c>
      <c r="Y413" s="9" t="s">
        <v>100</v>
      </c>
      <c r="Z413" s="8" t="s">
        <v>164</v>
      </c>
      <c r="AA413" s="9" t="s">
        <v>1504</v>
      </c>
      <c r="AB413" s="9" t="s">
        <v>2347</v>
      </c>
      <c r="AC413" s="46" t="s">
        <v>2350</v>
      </c>
    </row>
    <row r="414" spans="1:29" ht="33.75" customHeight="1">
      <c r="A414" s="35"/>
      <c r="B414" s="25" t="s">
        <v>124</v>
      </c>
      <c r="C414" s="26">
        <v>350400</v>
      </c>
      <c r="D414" s="26">
        <v>566700</v>
      </c>
      <c r="E414" s="51" t="s">
        <v>2498</v>
      </c>
      <c r="F414" s="26">
        <v>54.992401000000001</v>
      </c>
      <c r="G414" s="26">
        <v>-2.7767523999999999</v>
      </c>
      <c r="H414" s="27" t="s">
        <v>595</v>
      </c>
      <c r="I414" s="8" t="s">
        <v>91</v>
      </c>
      <c r="J414" s="26">
        <v>100</v>
      </c>
      <c r="K414" s="9">
        <v>1994</v>
      </c>
      <c r="L414" s="11"/>
      <c r="M414" s="25" t="s">
        <v>1092</v>
      </c>
      <c r="N414" s="25" t="s">
        <v>1091</v>
      </c>
      <c r="O414" s="28">
        <f>2000-135</f>
        <v>1865</v>
      </c>
      <c r="P414" s="29">
        <v>3</v>
      </c>
      <c r="Q414" s="12">
        <f>P414/O414*1000</f>
        <v>1.6085790884718498</v>
      </c>
      <c r="R414" s="26"/>
      <c r="S414" s="25">
        <v>30</v>
      </c>
      <c r="T414" s="12">
        <f>S414/(O414/1000)</f>
        <v>16.085790884718499</v>
      </c>
      <c r="U414" s="28" t="s">
        <v>1071</v>
      </c>
      <c r="V414" s="28"/>
      <c r="W414" s="9"/>
      <c r="X414" s="9"/>
      <c r="Y414" s="26"/>
      <c r="Z414" s="58" t="s">
        <v>1097</v>
      </c>
      <c r="AA414" s="26"/>
      <c r="AB414" s="9" t="s">
        <v>2347</v>
      </c>
      <c r="AC414" s="46" t="s">
        <v>2350</v>
      </c>
    </row>
    <row r="415" spans="1:29" ht="33.75" customHeight="1">
      <c r="A415" s="35"/>
      <c r="B415" s="25" t="s">
        <v>124</v>
      </c>
      <c r="C415" s="26">
        <v>383000</v>
      </c>
      <c r="D415" s="26">
        <v>571400</v>
      </c>
      <c r="E415" s="51" t="s">
        <v>2498</v>
      </c>
      <c r="F415" s="26">
        <v>55.036822000000001</v>
      </c>
      <c r="G415" s="26">
        <v>-2.2675263000000001</v>
      </c>
      <c r="H415" s="27" t="s">
        <v>1090</v>
      </c>
      <c r="I415" s="8" t="s">
        <v>1088</v>
      </c>
      <c r="J415" s="26">
        <v>240</v>
      </c>
      <c r="K415" s="9"/>
      <c r="L415" s="11"/>
      <c r="M415" s="25" t="s">
        <v>1096</v>
      </c>
      <c r="N415" s="25" t="s">
        <v>1095</v>
      </c>
      <c r="O415" s="28">
        <f>3255-925</f>
        <v>2330</v>
      </c>
      <c r="P415" s="29">
        <v>3</v>
      </c>
      <c r="Q415" s="12">
        <f>P415/O415*1000</f>
        <v>1.2875536480686696</v>
      </c>
      <c r="R415" s="26"/>
      <c r="S415" s="25">
        <v>30</v>
      </c>
      <c r="T415" s="12">
        <f>S415/(O415/1000)</f>
        <v>12.875536480686694</v>
      </c>
      <c r="U415" s="28" t="s">
        <v>1071</v>
      </c>
      <c r="V415" s="28"/>
      <c r="W415" s="9"/>
      <c r="X415" s="9"/>
      <c r="Y415" s="26"/>
      <c r="Z415" s="8" t="s">
        <v>1097</v>
      </c>
      <c r="AA415" s="26"/>
      <c r="AB415" s="9" t="s">
        <v>2347</v>
      </c>
      <c r="AC415" s="46" t="s">
        <v>2350</v>
      </c>
    </row>
    <row r="416" spans="1:29" ht="33.75" customHeight="1">
      <c r="A416" s="35"/>
      <c r="B416" s="25" t="s">
        <v>124</v>
      </c>
      <c r="C416" s="26">
        <v>377100</v>
      </c>
      <c r="D416" s="26">
        <v>566300</v>
      </c>
      <c r="E416" s="51" t="s">
        <v>2521</v>
      </c>
      <c r="F416" s="26">
        <v>54.990755999999998</v>
      </c>
      <c r="G416" s="26">
        <v>-2.3594289000000002</v>
      </c>
      <c r="H416" s="27" t="s">
        <v>1099</v>
      </c>
      <c r="I416" s="8" t="s">
        <v>1098</v>
      </c>
      <c r="J416" s="26">
        <v>160</v>
      </c>
      <c r="K416" s="9" t="s">
        <v>1100</v>
      </c>
      <c r="L416" s="11" t="s">
        <v>78</v>
      </c>
      <c r="M416" s="25"/>
      <c r="N416" s="25"/>
      <c r="O416" s="28"/>
      <c r="P416" s="29">
        <v>0</v>
      </c>
      <c r="Q416" s="12"/>
      <c r="R416" s="26"/>
      <c r="S416" s="25">
        <v>16</v>
      </c>
      <c r="T416" s="12"/>
      <c r="U416" s="28" t="s">
        <v>857</v>
      </c>
      <c r="V416" s="28"/>
      <c r="W416" s="9"/>
      <c r="X416" s="9"/>
      <c r="Y416" s="26"/>
      <c r="Z416" s="8" t="s">
        <v>1102</v>
      </c>
      <c r="AA416" s="26"/>
      <c r="AB416" s="9" t="s">
        <v>2347</v>
      </c>
      <c r="AC416" s="46" t="s">
        <v>2350</v>
      </c>
    </row>
    <row r="417" spans="1:29" ht="33.75" customHeight="1">
      <c r="A417" s="35"/>
      <c r="B417" s="25" t="s">
        <v>124</v>
      </c>
      <c r="C417" s="26">
        <v>377100</v>
      </c>
      <c r="D417" s="26">
        <v>566300</v>
      </c>
      <c r="E417" s="51" t="s">
        <v>2521</v>
      </c>
      <c r="F417" s="26">
        <v>54.990755999999998</v>
      </c>
      <c r="G417" s="26">
        <v>-2.3594289000000002</v>
      </c>
      <c r="H417" s="27" t="s">
        <v>1099</v>
      </c>
      <c r="I417" s="8" t="s">
        <v>1098</v>
      </c>
      <c r="J417" s="26">
        <v>160</v>
      </c>
      <c r="K417" s="9" t="s">
        <v>1101</v>
      </c>
      <c r="L417" s="11" t="s">
        <v>78</v>
      </c>
      <c r="M417" s="25"/>
      <c r="N417" s="25"/>
      <c r="O417" s="28"/>
      <c r="P417" s="29">
        <v>0</v>
      </c>
      <c r="Q417" s="12"/>
      <c r="R417" s="26"/>
      <c r="S417" s="25">
        <v>15</v>
      </c>
      <c r="T417" s="12"/>
      <c r="U417" s="28"/>
      <c r="V417" s="28"/>
      <c r="W417" s="9"/>
      <c r="X417" s="9"/>
      <c r="Y417" s="26"/>
      <c r="Z417" s="8" t="s">
        <v>1102</v>
      </c>
      <c r="AA417" s="26"/>
      <c r="AB417" s="9" t="s">
        <v>2347</v>
      </c>
      <c r="AC417" s="46" t="s">
        <v>2350</v>
      </c>
    </row>
    <row r="418" spans="1:29" ht="33.75" customHeight="1">
      <c r="A418" s="11">
        <v>91</v>
      </c>
      <c r="B418" s="8" t="s">
        <v>124</v>
      </c>
      <c r="C418" s="9">
        <v>404070</v>
      </c>
      <c r="D418" s="9">
        <v>645670</v>
      </c>
      <c r="E418" s="46" t="s">
        <v>2402</v>
      </c>
      <c r="F418" s="9">
        <v>55.704461000000002</v>
      </c>
      <c r="G418" s="9">
        <v>-1.9368023000000001</v>
      </c>
      <c r="H418" s="10" t="s">
        <v>437</v>
      </c>
      <c r="I418" s="8" t="s">
        <v>433</v>
      </c>
      <c r="J418" s="9">
        <v>5.6</v>
      </c>
      <c r="K418" s="11" t="s">
        <v>436</v>
      </c>
      <c r="L418" s="11" t="s">
        <v>439</v>
      </c>
      <c r="M418" s="8">
        <v>7281</v>
      </c>
      <c r="N418" s="8">
        <v>3462</v>
      </c>
      <c r="O418" s="11">
        <f>M418-N418</f>
        <v>3819</v>
      </c>
      <c r="P418" s="22">
        <v>4</v>
      </c>
      <c r="Q418" s="12">
        <f>P418/O418*1000</f>
        <v>1.0473946059177797</v>
      </c>
      <c r="R418" s="11"/>
      <c r="S418" s="8">
        <v>12</v>
      </c>
      <c r="T418" s="12">
        <f>S418/(O418/1000)</f>
        <v>3.1421838177533385</v>
      </c>
      <c r="U418" s="11"/>
      <c r="V418" s="11"/>
      <c r="W418" s="11" t="s">
        <v>440</v>
      </c>
      <c r="X418" s="9" t="s">
        <v>442</v>
      </c>
      <c r="Y418" s="9" t="s">
        <v>100</v>
      </c>
      <c r="Z418" s="8" t="s">
        <v>441</v>
      </c>
      <c r="AA418" s="9"/>
      <c r="AB418" s="9" t="s">
        <v>2347</v>
      </c>
      <c r="AC418" s="46" t="s">
        <v>2350</v>
      </c>
    </row>
    <row r="419" spans="1:29" ht="33.75" customHeight="1">
      <c r="A419" s="11"/>
      <c r="B419" s="8" t="s">
        <v>124</v>
      </c>
      <c r="C419" s="11">
        <v>380500</v>
      </c>
      <c r="D419" s="9">
        <v>631500</v>
      </c>
      <c r="E419" s="46" t="s">
        <v>2522</v>
      </c>
      <c r="F419" s="9">
        <v>55.576762000000002</v>
      </c>
      <c r="G419" s="9">
        <v>-2.3108403000000002</v>
      </c>
      <c r="H419" s="10" t="s">
        <v>525</v>
      </c>
      <c r="I419" s="8" t="s">
        <v>524</v>
      </c>
      <c r="J419" s="9">
        <v>170</v>
      </c>
      <c r="K419" s="11"/>
      <c r="L419" s="11" t="s">
        <v>2</v>
      </c>
      <c r="M419" s="8" t="s">
        <v>776</v>
      </c>
      <c r="N419" s="8" t="s">
        <v>777</v>
      </c>
      <c r="O419" s="11">
        <f>12250-5340</f>
        <v>6910</v>
      </c>
      <c r="P419" s="22">
        <v>18</v>
      </c>
      <c r="Q419" s="18">
        <f>P419/O419*1000</f>
        <v>2.6049204052098407</v>
      </c>
      <c r="R419" s="11" t="s">
        <v>40</v>
      </c>
      <c r="S419" s="8">
        <v>90</v>
      </c>
      <c r="T419" s="12">
        <f>S419/(O419/1000)</f>
        <v>13.024602026049203</v>
      </c>
      <c r="U419" s="11">
        <v>300</v>
      </c>
      <c r="V419" s="11" t="s">
        <v>594</v>
      </c>
      <c r="W419" s="11" t="s">
        <v>650</v>
      </c>
      <c r="X419" s="9"/>
      <c r="Y419" s="9"/>
      <c r="Z419" s="37" t="s">
        <v>526</v>
      </c>
      <c r="AA419" s="9"/>
      <c r="AB419" s="9" t="s">
        <v>2347</v>
      </c>
      <c r="AC419" s="46" t="s">
        <v>2350</v>
      </c>
    </row>
    <row r="420" spans="1:29" ht="33.75" customHeight="1">
      <c r="A420" s="11"/>
      <c r="B420" s="8" t="s">
        <v>124</v>
      </c>
      <c r="C420" s="26">
        <v>416000</v>
      </c>
      <c r="D420" s="26">
        <v>631000</v>
      </c>
      <c r="E420" s="46" t="s">
        <v>2523</v>
      </c>
      <c r="F420" s="26">
        <v>55.572406000000001</v>
      </c>
      <c r="G420" s="26">
        <v>-1.7478180999999999</v>
      </c>
      <c r="H420" s="10" t="s">
        <v>1114</v>
      </c>
      <c r="I420" s="8" t="s">
        <v>1113</v>
      </c>
      <c r="J420" s="9">
        <v>50</v>
      </c>
      <c r="K420" s="11"/>
      <c r="L420" s="11"/>
      <c r="M420" s="8"/>
      <c r="N420" s="8"/>
      <c r="O420" s="11"/>
      <c r="P420" s="22">
        <v>0</v>
      </c>
      <c r="Q420" s="12"/>
      <c r="R420" s="11"/>
      <c r="S420" s="8">
        <v>40</v>
      </c>
      <c r="T420" s="12"/>
      <c r="U420" s="11" t="s">
        <v>1118</v>
      </c>
      <c r="V420" s="11"/>
      <c r="W420" s="11"/>
      <c r="X420" s="9"/>
      <c r="Y420" s="9"/>
      <c r="Z420" s="8" t="s">
        <v>1119</v>
      </c>
      <c r="AA420" s="9"/>
      <c r="AB420" s="9" t="s">
        <v>2347</v>
      </c>
      <c r="AC420" s="46" t="s">
        <v>2350</v>
      </c>
    </row>
    <row r="421" spans="1:29" ht="33.75" customHeight="1">
      <c r="A421" s="9"/>
      <c r="B421" s="8" t="s">
        <v>124</v>
      </c>
      <c r="C421" s="26">
        <v>415600</v>
      </c>
      <c r="D421" s="26">
        <v>619500</v>
      </c>
      <c r="E421" s="46" t="s">
        <v>2523</v>
      </c>
      <c r="F421" s="26">
        <v>55.469087999999999</v>
      </c>
      <c r="G421" s="26">
        <v>-1.7548041999999999</v>
      </c>
      <c r="H421" s="10" t="s">
        <v>1116</v>
      </c>
      <c r="I421" s="8" t="s">
        <v>1115</v>
      </c>
      <c r="J421" s="9">
        <v>130</v>
      </c>
      <c r="K421" s="11"/>
      <c r="L421" s="11"/>
      <c r="M421" s="8"/>
      <c r="N421" s="8"/>
      <c r="O421" s="11"/>
      <c r="P421" s="22">
        <v>0</v>
      </c>
      <c r="Q421" s="12"/>
      <c r="R421" s="11"/>
      <c r="S421" s="8">
        <v>40</v>
      </c>
      <c r="T421" s="12"/>
      <c r="U421" s="11" t="s">
        <v>1118</v>
      </c>
      <c r="V421" s="11"/>
      <c r="W421" s="11"/>
      <c r="X421" s="9"/>
      <c r="Y421" s="9"/>
      <c r="Z421" s="8" t="s">
        <v>1119</v>
      </c>
      <c r="AA421" s="9"/>
      <c r="AB421" s="9" t="s">
        <v>2347</v>
      </c>
      <c r="AC421" s="46" t="s">
        <v>2350</v>
      </c>
    </row>
    <row r="422" spans="1:29" ht="33.75" customHeight="1">
      <c r="A422" s="9"/>
      <c r="B422" s="8" t="s">
        <v>124</v>
      </c>
      <c r="C422" s="26">
        <v>416759</v>
      </c>
      <c r="D422" s="26">
        <v>629660</v>
      </c>
      <c r="E422" s="46" t="s">
        <v>2523</v>
      </c>
      <c r="F422" s="26">
        <v>55.560339999999997</v>
      </c>
      <c r="G422" s="26">
        <v>-1.7358621000000001</v>
      </c>
      <c r="H422" s="10" t="s">
        <v>1256</v>
      </c>
      <c r="I422" s="8" t="s">
        <v>1117</v>
      </c>
      <c r="J422" s="9">
        <v>40</v>
      </c>
      <c r="K422" s="11"/>
      <c r="L422" s="11"/>
      <c r="M422" s="8"/>
      <c r="N422" s="8"/>
      <c r="O422" s="11"/>
      <c r="P422" s="22">
        <v>0</v>
      </c>
      <c r="Q422" s="12"/>
      <c r="R422" s="11"/>
      <c r="S422" s="8">
        <v>40</v>
      </c>
      <c r="T422" s="12"/>
      <c r="U422" s="15" t="s">
        <v>1118</v>
      </c>
      <c r="V422" s="11"/>
      <c r="W422" s="11"/>
      <c r="X422" s="9"/>
      <c r="Y422" s="9"/>
      <c r="Z422" s="8" t="s">
        <v>1119</v>
      </c>
      <c r="AA422" s="9"/>
      <c r="AB422" s="9" t="s">
        <v>2347</v>
      </c>
      <c r="AC422" s="46" t="s">
        <v>2350</v>
      </c>
    </row>
    <row r="423" spans="1:29" ht="33.75" customHeight="1">
      <c r="A423" s="9"/>
      <c r="B423" s="8" t="s">
        <v>124</v>
      </c>
      <c r="C423" s="9">
        <v>428400</v>
      </c>
      <c r="D423" s="9">
        <v>601900</v>
      </c>
      <c r="E423" s="46" t="s">
        <v>2524</v>
      </c>
      <c r="F423" s="9">
        <v>55.310374000000003</v>
      </c>
      <c r="G423" s="9">
        <v>-1.5541299</v>
      </c>
      <c r="H423" s="9" t="s">
        <v>734</v>
      </c>
      <c r="I423" s="8" t="s">
        <v>731</v>
      </c>
      <c r="J423" s="9">
        <v>1</v>
      </c>
      <c r="K423" s="11"/>
      <c r="L423" s="11" t="s">
        <v>2</v>
      </c>
      <c r="M423" s="8" t="s">
        <v>772</v>
      </c>
      <c r="N423" s="8" t="s">
        <v>773</v>
      </c>
      <c r="O423" s="11">
        <v>1910</v>
      </c>
      <c r="P423" s="22">
        <v>2</v>
      </c>
      <c r="Q423" s="12">
        <f>P423/O423*1000</f>
        <v>1.0471204188481678</v>
      </c>
      <c r="R423" s="11"/>
      <c r="S423" s="8">
        <v>16</v>
      </c>
      <c r="T423" s="12">
        <f>S423/(O423/1000)</f>
        <v>8.3769633507853403</v>
      </c>
      <c r="U423" s="11" t="s">
        <v>732</v>
      </c>
      <c r="V423" s="11" t="s">
        <v>594</v>
      </c>
      <c r="W423" s="11"/>
      <c r="X423" s="9"/>
      <c r="Y423" s="9"/>
      <c r="Z423" s="8" t="s">
        <v>735</v>
      </c>
      <c r="AA423" s="9"/>
      <c r="AB423" s="9" t="s">
        <v>2347</v>
      </c>
      <c r="AC423" s="46" t="s">
        <v>2350</v>
      </c>
    </row>
    <row r="424" spans="1:29" ht="33.75" customHeight="1">
      <c r="A424" s="11"/>
      <c r="B424" s="8" t="s">
        <v>124</v>
      </c>
      <c r="C424" s="26">
        <v>376600</v>
      </c>
      <c r="D424" s="26">
        <v>568000</v>
      </c>
      <c r="E424" s="50" t="s">
        <v>2525</v>
      </c>
      <c r="F424" s="26">
        <v>55.006008000000001</v>
      </c>
      <c r="G424" s="26">
        <v>-2.3673826999999998</v>
      </c>
      <c r="H424" s="38" t="s">
        <v>1512</v>
      </c>
      <c r="I424" s="8" t="s">
        <v>1511</v>
      </c>
      <c r="J424" s="11">
        <v>250</v>
      </c>
      <c r="K424" s="11"/>
      <c r="L424" s="11" t="s">
        <v>1160</v>
      </c>
      <c r="M424" s="8" t="s">
        <v>1514</v>
      </c>
      <c r="N424" s="8" t="s">
        <v>1513</v>
      </c>
      <c r="O424" s="11">
        <f>4030-345</f>
        <v>3685</v>
      </c>
      <c r="P424" s="22">
        <v>6</v>
      </c>
      <c r="Q424" s="12"/>
      <c r="R424" s="11"/>
      <c r="S424" s="8">
        <v>100</v>
      </c>
      <c r="T424" s="12"/>
      <c r="U424" s="11" t="s">
        <v>1108</v>
      </c>
      <c r="V424" s="11" t="s">
        <v>594</v>
      </c>
      <c r="W424" s="11"/>
      <c r="X424" s="11"/>
      <c r="Y424" s="11"/>
      <c r="Z424" s="8" t="s">
        <v>1516</v>
      </c>
      <c r="AA424" s="11" t="s">
        <v>1515</v>
      </c>
      <c r="AB424" s="9" t="s">
        <v>2347</v>
      </c>
      <c r="AC424" s="46" t="s">
        <v>2350</v>
      </c>
    </row>
    <row r="425" spans="1:29" ht="33.75" customHeight="1">
      <c r="A425" s="9"/>
      <c r="B425" s="8" t="s">
        <v>124</v>
      </c>
      <c r="C425" s="26">
        <v>405500</v>
      </c>
      <c r="D425" s="26">
        <v>609500</v>
      </c>
      <c r="E425" s="46" t="s">
        <v>2526</v>
      </c>
      <c r="F425" s="26">
        <v>55.379447999999996</v>
      </c>
      <c r="G425" s="26">
        <v>-1.9147517999999999</v>
      </c>
      <c r="H425" s="10" t="s">
        <v>1107</v>
      </c>
      <c r="I425" s="8" t="s">
        <v>1106</v>
      </c>
      <c r="J425" s="9">
        <v>230</v>
      </c>
      <c r="K425" s="11"/>
      <c r="L425" s="11" t="s">
        <v>1111</v>
      </c>
      <c r="M425" s="8" t="s">
        <v>1110</v>
      </c>
      <c r="N425" s="8" t="s">
        <v>1109</v>
      </c>
      <c r="O425" s="11">
        <f>3920-2540</f>
        <v>1380</v>
      </c>
      <c r="P425" s="22">
        <v>2</v>
      </c>
      <c r="Q425" s="12">
        <f>P425/O425*1000</f>
        <v>1.4492753623188406</v>
      </c>
      <c r="R425" s="11"/>
      <c r="S425" s="8">
        <v>19</v>
      </c>
      <c r="T425" s="12">
        <f>S425/(O425/1000)</f>
        <v>13.768115942028986</v>
      </c>
      <c r="U425" s="11" t="s">
        <v>1108</v>
      </c>
      <c r="V425" s="11"/>
      <c r="W425" s="11"/>
      <c r="X425" s="9"/>
      <c r="Y425" s="9"/>
      <c r="Z425" s="8" t="s">
        <v>1112</v>
      </c>
      <c r="AA425" s="9"/>
      <c r="AB425" s="9" t="s">
        <v>2347</v>
      </c>
      <c r="AC425" s="46" t="s">
        <v>2350</v>
      </c>
    </row>
    <row r="426" spans="1:29" ht="33.75" customHeight="1">
      <c r="A426" s="9"/>
      <c r="B426" s="8" t="s">
        <v>1742</v>
      </c>
      <c r="C426" s="9">
        <v>383400</v>
      </c>
      <c r="D426" s="9">
        <v>525000</v>
      </c>
      <c r="E426" s="46" t="s">
        <v>2528</v>
      </c>
      <c r="F426" s="9">
        <v>54.619870538000001</v>
      </c>
      <c r="G426" s="9">
        <v>-2.2585866723599999</v>
      </c>
      <c r="H426" s="9"/>
      <c r="I426" s="8" t="s">
        <v>1749</v>
      </c>
      <c r="J426" s="9">
        <v>684</v>
      </c>
      <c r="K426" s="11"/>
      <c r="L426" s="11" t="s">
        <v>2</v>
      </c>
      <c r="M426" s="8" t="s">
        <v>592</v>
      </c>
      <c r="N426" s="8" t="s">
        <v>592</v>
      </c>
      <c r="O426" s="11" t="s">
        <v>592</v>
      </c>
      <c r="P426" s="22">
        <v>0</v>
      </c>
      <c r="Q426" s="12"/>
      <c r="R426" s="11" t="s">
        <v>237</v>
      </c>
      <c r="S426" s="8">
        <v>6</v>
      </c>
      <c r="T426" s="12"/>
      <c r="U426" s="11" t="s">
        <v>592</v>
      </c>
      <c r="V426" s="11" t="s">
        <v>593</v>
      </c>
      <c r="W426" s="11"/>
      <c r="X426" s="9" t="s">
        <v>1338</v>
      </c>
      <c r="Y426" s="9"/>
      <c r="Z426" s="8" t="s">
        <v>483</v>
      </c>
      <c r="AA426" s="9"/>
      <c r="AB426" s="9" t="s">
        <v>2347</v>
      </c>
      <c r="AC426" s="46" t="s">
        <v>2351</v>
      </c>
    </row>
    <row r="427" spans="1:29" ht="33.75" customHeight="1">
      <c r="A427" s="9"/>
      <c r="B427" s="8" t="s">
        <v>1742</v>
      </c>
      <c r="C427" s="9">
        <v>394100</v>
      </c>
      <c r="D427" s="9">
        <v>493500</v>
      </c>
      <c r="E427" s="46" t="s">
        <v>2528</v>
      </c>
      <c r="F427" s="9">
        <v>54.337023368700002</v>
      </c>
      <c r="G427" s="9">
        <v>-2.09224401096</v>
      </c>
      <c r="H427" s="9"/>
      <c r="I427" s="8" t="s">
        <v>1750</v>
      </c>
      <c r="J427" s="9">
        <v>495</v>
      </c>
      <c r="K427" s="11"/>
      <c r="L427" s="11" t="s">
        <v>2</v>
      </c>
      <c r="M427" s="8" t="s">
        <v>592</v>
      </c>
      <c r="N427" s="8" t="s">
        <v>592</v>
      </c>
      <c r="O427" s="11" t="s">
        <v>592</v>
      </c>
      <c r="P427" s="22">
        <v>0</v>
      </c>
      <c r="Q427" s="12"/>
      <c r="R427" s="11" t="s">
        <v>237</v>
      </c>
      <c r="S427" s="8">
        <v>3</v>
      </c>
      <c r="T427" s="12"/>
      <c r="U427" s="11" t="s">
        <v>592</v>
      </c>
      <c r="V427" s="11" t="s">
        <v>593</v>
      </c>
      <c r="W427" s="11"/>
      <c r="X427" s="9" t="s">
        <v>1338</v>
      </c>
      <c r="Y427" s="9"/>
      <c r="Z427" s="8" t="s">
        <v>483</v>
      </c>
      <c r="AA427" s="9"/>
      <c r="AB427" s="9" t="s">
        <v>2347</v>
      </c>
      <c r="AC427" s="46" t="s">
        <v>2351</v>
      </c>
    </row>
    <row r="428" spans="1:29" ht="33.75" customHeight="1">
      <c r="A428" s="9"/>
      <c r="B428" s="8" t="s">
        <v>1742</v>
      </c>
      <c r="C428" s="9">
        <v>396800</v>
      </c>
      <c r="D428" s="9">
        <v>494500</v>
      </c>
      <c r="E428" s="46" t="s">
        <v>2528</v>
      </c>
      <c r="F428" s="9">
        <v>54.3460351883</v>
      </c>
      <c r="G428" s="9">
        <v>-2.0507300210900001</v>
      </c>
      <c r="H428" s="9"/>
      <c r="I428" s="8" t="s">
        <v>1751</v>
      </c>
      <c r="J428" s="9">
        <v>480</v>
      </c>
      <c r="K428" s="11"/>
      <c r="L428" s="11" t="s">
        <v>2</v>
      </c>
      <c r="M428" s="8" t="s">
        <v>592</v>
      </c>
      <c r="N428" s="8" t="s">
        <v>592</v>
      </c>
      <c r="O428" s="11" t="s">
        <v>592</v>
      </c>
      <c r="P428" s="22">
        <v>0</v>
      </c>
      <c r="Q428" s="12"/>
      <c r="R428" s="11" t="s">
        <v>237</v>
      </c>
      <c r="S428" s="8">
        <v>4</v>
      </c>
      <c r="T428" s="12"/>
      <c r="U428" s="11" t="s">
        <v>592</v>
      </c>
      <c r="V428" s="11" t="s">
        <v>593</v>
      </c>
      <c r="W428" s="11"/>
      <c r="X428" s="9" t="s">
        <v>1338</v>
      </c>
      <c r="Y428" s="9"/>
      <c r="Z428" s="8" t="s">
        <v>483</v>
      </c>
      <c r="AA428" s="9"/>
      <c r="AB428" s="9" t="s">
        <v>2347</v>
      </c>
      <c r="AC428" s="46" t="s">
        <v>2351</v>
      </c>
    </row>
    <row r="429" spans="1:29" ht="33.75" customHeight="1">
      <c r="A429" s="9"/>
      <c r="B429" s="8" t="s">
        <v>1742</v>
      </c>
      <c r="C429" s="9">
        <v>363500</v>
      </c>
      <c r="D429" s="9">
        <v>555100</v>
      </c>
      <c r="E429" s="46" t="s">
        <v>2528</v>
      </c>
      <c r="F429" s="9">
        <v>54.889300630199997</v>
      </c>
      <c r="G429" s="9">
        <v>-2.5705417476900001</v>
      </c>
      <c r="H429" s="9"/>
      <c r="I429" s="8" t="s">
        <v>1752</v>
      </c>
      <c r="J429" s="9">
        <v>497</v>
      </c>
      <c r="K429" s="11"/>
      <c r="L429" s="11" t="s">
        <v>2</v>
      </c>
      <c r="M429" s="8" t="s">
        <v>592</v>
      </c>
      <c r="N429" s="8" t="s">
        <v>592</v>
      </c>
      <c r="O429" s="11" t="s">
        <v>592</v>
      </c>
      <c r="P429" s="22">
        <v>0</v>
      </c>
      <c r="Q429" s="12"/>
      <c r="R429" s="11" t="s">
        <v>237</v>
      </c>
      <c r="S429" s="8">
        <v>9</v>
      </c>
      <c r="T429" s="12"/>
      <c r="U429" s="11" t="s">
        <v>592</v>
      </c>
      <c r="V429" s="11" t="s">
        <v>593</v>
      </c>
      <c r="W429" s="11"/>
      <c r="X429" s="9" t="s">
        <v>1338</v>
      </c>
      <c r="Y429" s="9"/>
      <c r="Z429" s="8" t="s">
        <v>483</v>
      </c>
      <c r="AA429" s="9"/>
      <c r="AB429" s="9" t="s">
        <v>2347</v>
      </c>
      <c r="AC429" s="46" t="s">
        <v>2351</v>
      </c>
    </row>
    <row r="430" spans="1:29" ht="33.75" customHeight="1">
      <c r="A430" s="9"/>
      <c r="B430" s="8" t="s">
        <v>1742</v>
      </c>
      <c r="C430" s="9">
        <v>373300</v>
      </c>
      <c r="D430" s="9">
        <v>560700</v>
      </c>
      <c r="E430" s="46" t="s">
        <v>2528</v>
      </c>
      <c r="F430" s="9">
        <v>54.940244116599999</v>
      </c>
      <c r="G430" s="9">
        <v>-2.4182926681899999</v>
      </c>
      <c r="H430" s="9"/>
      <c r="I430" s="8" t="s">
        <v>1753</v>
      </c>
      <c r="J430" s="9">
        <v>292</v>
      </c>
      <c r="K430" s="11"/>
      <c r="L430" s="11" t="s">
        <v>2</v>
      </c>
      <c r="M430" s="8" t="s">
        <v>592</v>
      </c>
      <c r="N430" s="8" t="s">
        <v>592</v>
      </c>
      <c r="O430" s="11" t="s">
        <v>592</v>
      </c>
      <c r="P430" s="22">
        <v>0</v>
      </c>
      <c r="Q430" s="12"/>
      <c r="R430" s="11" t="s">
        <v>237</v>
      </c>
      <c r="S430" s="8">
        <v>5</v>
      </c>
      <c r="T430" s="12"/>
      <c r="U430" s="11" t="s">
        <v>592</v>
      </c>
      <c r="V430" s="11" t="s">
        <v>593</v>
      </c>
      <c r="W430" s="11"/>
      <c r="X430" s="9" t="s">
        <v>1338</v>
      </c>
      <c r="Y430" s="9"/>
      <c r="Z430" s="8" t="s">
        <v>483</v>
      </c>
      <c r="AA430" s="9"/>
      <c r="AB430" s="9" t="s">
        <v>2347</v>
      </c>
      <c r="AC430" s="46" t="s">
        <v>2351</v>
      </c>
    </row>
    <row r="431" spans="1:29" ht="33.75" customHeight="1">
      <c r="A431" s="9"/>
      <c r="B431" s="8" t="s">
        <v>124</v>
      </c>
      <c r="C431" s="9">
        <v>396300</v>
      </c>
      <c r="D431" s="9">
        <v>621500</v>
      </c>
      <c r="E431" s="46" t="s">
        <v>2529</v>
      </c>
      <c r="F431" s="9">
        <v>55.4872885427</v>
      </c>
      <c r="G431" s="9">
        <v>-2.0601059145299998</v>
      </c>
      <c r="H431" s="9" t="s">
        <v>1756</v>
      </c>
      <c r="I431" s="8" t="s">
        <v>529</v>
      </c>
      <c r="J431" s="9">
        <v>390</v>
      </c>
      <c r="K431" s="11"/>
      <c r="L431" s="11" t="s">
        <v>2</v>
      </c>
      <c r="M431" s="8" t="s">
        <v>592</v>
      </c>
      <c r="N431" s="8" t="s">
        <v>592</v>
      </c>
      <c r="O431" s="11" t="s">
        <v>592</v>
      </c>
      <c r="P431" s="22">
        <v>0</v>
      </c>
      <c r="Q431" s="12"/>
      <c r="R431" s="11" t="s">
        <v>237</v>
      </c>
      <c r="S431" s="8">
        <v>80</v>
      </c>
      <c r="T431" s="12"/>
      <c r="U431" s="11">
        <v>500</v>
      </c>
      <c r="V431" s="11" t="s">
        <v>594</v>
      </c>
      <c r="W431" s="11"/>
      <c r="X431" s="9" t="s">
        <v>1338</v>
      </c>
      <c r="Y431" s="9"/>
      <c r="Z431" s="8" t="s">
        <v>1757</v>
      </c>
      <c r="AA431" s="9"/>
      <c r="AB431" s="9" t="s">
        <v>2347</v>
      </c>
      <c r="AC431" s="46" t="s">
        <v>2351</v>
      </c>
    </row>
    <row r="432" spans="1:29" ht="33.75" customHeight="1">
      <c r="A432" s="9"/>
      <c r="B432" s="8" t="s">
        <v>241</v>
      </c>
      <c r="C432" s="9">
        <v>396400</v>
      </c>
      <c r="D432" s="9">
        <v>545700</v>
      </c>
      <c r="E432" s="46" t="s">
        <v>2530</v>
      </c>
      <c r="F432" s="9">
        <v>54.806155666899997</v>
      </c>
      <c r="G432" s="9">
        <v>-2.05753060867</v>
      </c>
      <c r="H432" s="9"/>
      <c r="I432" s="8" t="s">
        <v>1758</v>
      </c>
      <c r="J432" s="9">
        <v>435</v>
      </c>
      <c r="K432" s="11"/>
      <c r="L432" s="11" t="s">
        <v>2</v>
      </c>
      <c r="M432" s="8" t="s">
        <v>592</v>
      </c>
      <c r="N432" s="8" t="s">
        <v>592</v>
      </c>
      <c r="O432" s="11" t="s">
        <v>592</v>
      </c>
      <c r="P432" s="22">
        <v>0</v>
      </c>
      <c r="Q432" s="12"/>
      <c r="R432" s="11" t="s">
        <v>237</v>
      </c>
      <c r="S432" s="8">
        <v>21</v>
      </c>
      <c r="T432" s="12"/>
      <c r="U432" s="11" t="s">
        <v>592</v>
      </c>
      <c r="V432" s="11" t="s">
        <v>593</v>
      </c>
      <c r="W432" s="11"/>
      <c r="X432" s="9" t="s">
        <v>1338</v>
      </c>
      <c r="Y432" s="9"/>
      <c r="Z432" s="8" t="s">
        <v>482</v>
      </c>
      <c r="AA432" s="9"/>
      <c r="AB432" s="9" t="s">
        <v>2347</v>
      </c>
      <c r="AC432" s="46" t="s">
        <v>2351</v>
      </c>
    </row>
    <row r="433" spans="1:29" ht="33.75" customHeight="1">
      <c r="A433" s="9"/>
      <c r="B433" s="8" t="s">
        <v>1742</v>
      </c>
      <c r="C433" s="9">
        <v>396400</v>
      </c>
      <c r="D433" s="9">
        <v>546000</v>
      </c>
      <c r="E433" s="46" t="s">
        <v>2528</v>
      </c>
      <c r="F433" s="9">
        <v>54.8088515978</v>
      </c>
      <c r="G433" s="9">
        <v>-2.05753445609</v>
      </c>
      <c r="H433" s="9"/>
      <c r="I433" s="8" t="s">
        <v>1758</v>
      </c>
      <c r="J433" s="9">
        <v>435</v>
      </c>
      <c r="K433" s="11"/>
      <c r="L433" s="11" t="s">
        <v>2</v>
      </c>
      <c r="M433" s="8" t="s">
        <v>592</v>
      </c>
      <c r="N433" s="8" t="s">
        <v>592</v>
      </c>
      <c r="O433" s="11" t="s">
        <v>592</v>
      </c>
      <c r="P433" s="22">
        <v>0</v>
      </c>
      <c r="Q433" s="12"/>
      <c r="R433" s="11" t="s">
        <v>237</v>
      </c>
      <c r="S433" s="8">
        <v>4</v>
      </c>
      <c r="T433" s="12"/>
      <c r="U433" s="11" t="s">
        <v>592</v>
      </c>
      <c r="V433" s="11" t="s">
        <v>593</v>
      </c>
      <c r="W433" s="11"/>
      <c r="X433" s="9" t="s">
        <v>1338</v>
      </c>
      <c r="Y433" s="9"/>
      <c r="Z433" s="8" t="s">
        <v>483</v>
      </c>
      <c r="AA433" s="9"/>
      <c r="AB433" s="9" t="s">
        <v>2347</v>
      </c>
      <c r="AC433" s="46" t="s">
        <v>2351</v>
      </c>
    </row>
    <row r="434" spans="1:29" ht="33.75" customHeight="1">
      <c r="A434" s="9"/>
      <c r="B434" s="8" t="s">
        <v>1759</v>
      </c>
      <c r="C434" s="9">
        <v>426800</v>
      </c>
      <c r="D434" s="9">
        <v>518900</v>
      </c>
      <c r="E434" s="9" t="s">
        <v>2545</v>
      </c>
      <c r="F434" s="9">
        <v>54.564624241799997</v>
      </c>
      <c r="G434" s="9">
        <v>-1.58704475797</v>
      </c>
      <c r="H434" s="9" t="s">
        <v>668</v>
      </c>
      <c r="I434" s="8" t="s">
        <v>666</v>
      </c>
      <c r="J434" s="9">
        <v>77</v>
      </c>
      <c r="K434" s="11"/>
      <c r="L434" s="11" t="s">
        <v>2</v>
      </c>
      <c r="M434" s="8" t="s">
        <v>592</v>
      </c>
      <c r="N434" s="8" t="s">
        <v>592</v>
      </c>
      <c r="O434" s="11" t="s">
        <v>592</v>
      </c>
      <c r="P434" s="22">
        <v>0</v>
      </c>
      <c r="Q434" s="12"/>
      <c r="R434" s="11" t="s">
        <v>237</v>
      </c>
      <c r="S434" s="8">
        <v>15</v>
      </c>
      <c r="T434" s="12"/>
      <c r="U434" s="11">
        <v>375</v>
      </c>
      <c r="V434" s="11" t="s">
        <v>593</v>
      </c>
      <c r="W434" s="11"/>
      <c r="X434" s="9" t="s">
        <v>1338</v>
      </c>
      <c r="Y434" s="9"/>
      <c r="Z434" s="8" t="s">
        <v>1760</v>
      </c>
      <c r="AA434" s="9"/>
      <c r="AB434" s="9" t="s">
        <v>2347</v>
      </c>
      <c r="AC434" s="46" t="s">
        <v>2351</v>
      </c>
    </row>
    <row r="435" spans="1:29" ht="33.75" customHeight="1">
      <c r="A435" s="9">
        <v>23</v>
      </c>
      <c r="B435" s="8" t="s">
        <v>124</v>
      </c>
      <c r="C435" s="9">
        <v>368100</v>
      </c>
      <c r="D435" s="9">
        <v>576600</v>
      </c>
      <c r="E435" s="9" t="s">
        <v>2546</v>
      </c>
      <c r="F435" s="9">
        <v>55.082811735600004</v>
      </c>
      <c r="G435" s="9">
        <v>-2.50123637496</v>
      </c>
      <c r="H435" s="9" t="s">
        <v>304</v>
      </c>
      <c r="I435" s="8" t="s">
        <v>92</v>
      </c>
      <c r="J435" s="9">
        <v>280</v>
      </c>
      <c r="K435" s="11" t="s">
        <v>93</v>
      </c>
      <c r="L435" s="11" t="s">
        <v>591</v>
      </c>
      <c r="M435" s="8">
        <v>1080</v>
      </c>
      <c r="N435" s="8">
        <v>260</v>
      </c>
      <c r="O435" s="11">
        <f t="shared" ref="O435:O440" si="6">M435-N435</f>
        <v>820</v>
      </c>
      <c r="P435" s="22">
        <v>11</v>
      </c>
      <c r="Q435" s="12">
        <f t="shared" ref="Q435:Q440" si="7">P435/O435*1000</f>
        <v>13.414634146341463</v>
      </c>
      <c r="R435" s="11" t="s">
        <v>40</v>
      </c>
      <c r="S435" s="8">
        <v>20</v>
      </c>
      <c r="T435" s="12">
        <f t="shared" ref="T435:T440" si="8">S435/O435*1000</f>
        <v>24.390243902439025</v>
      </c>
      <c r="U435" s="11" t="s">
        <v>592</v>
      </c>
      <c r="V435" s="11" t="s">
        <v>593</v>
      </c>
      <c r="W435" s="11" t="s">
        <v>27</v>
      </c>
      <c r="X435" s="9" t="s">
        <v>41</v>
      </c>
      <c r="Y435" s="9" t="s">
        <v>42</v>
      </c>
      <c r="Z435" s="8" t="s">
        <v>156</v>
      </c>
      <c r="AA435" s="9"/>
      <c r="AB435" s="9" t="s">
        <v>2347</v>
      </c>
      <c r="AC435" s="46" t="s">
        <v>2351</v>
      </c>
    </row>
    <row r="436" spans="1:29" ht="33.75" customHeight="1">
      <c r="A436" s="9">
        <v>45</v>
      </c>
      <c r="B436" s="8" t="s">
        <v>124</v>
      </c>
      <c r="C436" s="9">
        <v>368100</v>
      </c>
      <c r="D436" s="9">
        <v>576600</v>
      </c>
      <c r="E436" s="9" t="s">
        <v>2547</v>
      </c>
      <c r="F436" s="9">
        <v>55.082811735600004</v>
      </c>
      <c r="G436" s="9">
        <v>-2.50123637496</v>
      </c>
      <c r="H436" s="9" t="s">
        <v>304</v>
      </c>
      <c r="I436" s="8" t="s">
        <v>92</v>
      </c>
      <c r="J436" s="9">
        <v>280</v>
      </c>
      <c r="K436" s="11" t="s">
        <v>181</v>
      </c>
      <c r="L436" s="11" t="s">
        <v>183</v>
      </c>
      <c r="M436" s="8">
        <v>200</v>
      </c>
      <c r="N436" s="8">
        <v>0</v>
      </c>
      <c r="O436" s="11">
        <f t="shared" si="6"/>
        <v>200</v>
      </c>
      <c r="P436" s="22">
        <v>3</v>
      </c>
      <c r="Q436" s="12">
        <f t="shared" si="7"/>
        <v>15</v>
      </c>
      <c r="R436" s="11" t="s">
        <v>40</v>
      </c>
      <c r="S436" s="8">
        <v>12</v>
      </c>
      <c r="T436" s="12">
        <f t="shared" si="8"/>
        <v>60</v>
      </c>
      <c r="U436" s="11">
        <v>150</v>
      </c>
      <c r="V436" s="11" t="s">
        <v>593</v>
      </c>
      <c r="W436" s="11" t="s">
        <v>184</v>
      </c>
      <c r="X436" s="9" t="s">
        <v>180</v>
      </c>
      <c r="Y436" s="9" t="s">
        <v>100</v>
      </c>
      <c r="Z436" s="8" t="s">
        <v>185</v>
      </c>
      <c r="AA436" s="9"/>
      <c r="AB436" s="9" t="s">
        <v>2347</v>
      </c>
      <c r="AC436" s="46" t="s">
        <v>2351</v>
      </c>
    </row>
    <row r="437" spans="1:29" ht="33.75" customHeight="1">
      <c r="A437" s="9">
        <v>45</v>
      </c>
      <c r="B437" s="8" t="s">
        <v>124</v>
      </c>
      <c r="C437" s="9">
        <v>368100</v>
      </c>
      <c r="D437" s="9">
        <v>576600</v>
      </c>
      <c r="E437" s="9" t="s">
        <v>2547</v>
      </c>
      <c r="F437" s="9">
        <v>55.082811735600004</v>
      </c>
      <c r="G437" s="9">
        <v>-2.50123637496</v>
      </c>
      <c r="H437" s="9" t="s">
        <v>304</v>
      </c>
      <c r="I437" s="8" t="s">
        <v>92</v>
      </c>
      <c r="J437" s="9">
        <v>280</v>
      </c>
      <c r="K437" s="11" t="s">
        <v>182</v>
      </c>
      <c r="L437" s="11" t="s">
        <v>183</v>
      </c>
      <c r="M437" s="8">
        <v>200</v>
      </c>
      <c r="N437" s="8">
        <v>0</v>
      </c>
      <c r="O437" s="11">
        <f t="shared" si="6"/>
        <v>200</v>
      </c>
      <c r="P437" s="22">
        <v>3</v>
      </c>
      <c r="Q437" s="12">
        <f t="shared" si="7"/>
        <v>15</v>
      </c>
      <c r="R437" s="11" t="s">
        <v>40</v>
      </c>
      <c r="S437" s="8">
        <v>7</v>
      </c>
      <c r="T437" s="12">
        <f t="shared" si="8"/>
        <v>35</v>
      </c>
      <c r="U437" s="11">
        <v>150</v>
      </c>
      <c r="V437" s="11" t="s">
        <v>593</v>
      </c>
      <c r="W437" s="11" t="s">
        <v>184</v>
      </c>
      <c r="X437" s="9" t="s">
        <v>180</v>
      </c>
      <c r="Y437" s="9" t="s">
        <v>100</v>
      </c>
      <c r="Z437" s="8" t="s">
        <v>185</v>
      </c>
      <c r="AA437" s="9"/>
      <c r="AB437" s="9" t="s">
        <v>2347</v>
      </c>
      <c r="AC437" s="46" t="s">
        <v>2351</v>
      </c>
    </row>
    <row r="438" spans="1:29" ht="33.75" customHeight="1">
      <c r="A438" s="9"/>
      <c r="B438" s="8" t="s">
        <v>124</v>
      </c>
      <c r="C438" s="9">
        <v>368100</v>
      </c>
      <c r="D438" s="9">
        <v>576600</v>
      </c>
      <c r="E438" s="9" t="s">
        <v>2548</v>
      </c>
      <c r="F438" s="9">
        <v>55.082811735600004</v>
      </c>
      <c r="G438" s="9">
        <v>-2.50123637496</v>
      </c>
      <c r="H438" s="9"/>
      <c r="I438" s="8" t="s">
        <v>92</v>
      </c>
      <c r="J438" s="9">
        <v>284</v>
      </c>
      <c r="K438" s="11"/>
      <c r="L438" s="11" t="s">
        <v>2</v>
      </c>
      <c r="M438" s="8">
        <v>4495</v>
      </c>
      <c r="N438" s="8">
        <v>100</v>
      </c>
      <c r="O438" s="11">
        <f t="shared" si="6"/>
        <v>4395</v>
      </c>
      <c r="P438" s="22">
        <v>41</v>
      </c>
      <c r="Q438" s="12">
        <f t="shared" si="7"/>
        <v>9.3287827076222989</v>
      </c>
      <c r="R438" s="11" t="s">
        <v>237</v>
      </c>
      <c r="S438" s="8">
        <v>130</v>
      </c>
      <c r="T438" s="12">
        <f t="shared" si="8"/>
        <v>29.579067121729238</v>
      </c>
      <c r="U438" s="11">
        <v>300</v>
      </c>
      <c r="V438" s="11" t="s">
        <v>594</v>
      </c>
      <c r="W438" s="11"/>
      <c r="X438" s="9"/>
      <c r="Y438" s="9"/>
      <c r="Z438" s="58" t="s">
        <v>2527</v>
      </c>
      <c r="AA438" s="9"/>
      <c r="AB438" s="9" t="s">
        <v>2347</v>
      </c>
      <c r="AC438" s="46" t="s">
        <v>2351</v>
      </c>
    </row>
    <row r="439" spans="1:29" ht="33.75" customHeight="1">
      <c r="A439" s="9"/>
      <c r="B439" s="8" t="s">
        <v>124</v>
      </c>
      <c r="C439" s="9">
        <v>410000</v>
      </c>
      <c r="D439" s="9">
        <v>626300</v>
      </c>
      <c r="E439" s="9" t="s">
        <v>2529</v>
      </c>
      <c r="F439" s="9">
        <v>55.530333269400003</v>
      </c>
      <c r="G439" s="9">
        <v>-1.8431383219999999</v>
      </c>
      <c r="H439" s="9" t="s">
        <v>1761</v>
      </c>
      <c r="I439" s="8" t="s">
        <v>530</v>
      </c>
      <c r="J439" s="9">
        <v>205</v>
      </c>
      <c r="K439" s="11"/>
      <c r="L439" s="11" t="s">
        <v>2</v>
      </c>
      <c r="M439" s="8">
        <v>3510</v>
      </c>
      <c r="N439" s="8">
        <v>0</v>
      </c>
      <c r="O439" s="11">
        <f t="shared" si="6"/>
        <v>3510</v>
      </c>
      <c r="P439" s="22">
        <v>5</v>
      </c>
      <c r="Q439" s="12">
        <f t="shared" si="7"/>
        <v>1.4245014245014245</v>
      </c>
      <c r="R439" s="11" t="s">
        <v>237</v>
      </c>
      <c r="S439" s="8">
        <v>50</v>
      </c>
      <c r="T439" s="12">
        <f t="shared" si="8"/>
        <v>14.245014245014245</v>
      </c>
      <c r="U439" s="11">
        <v>500</v>
      </c>
      <c r="V439" s="11" t="s">
        <v>594</v>
      </c>
      <c r="W439" s="11"/>
      <c r="X439" s="9" t="s">
        <v>1338</v>
      </c>
      <c r="Y439" s="9"/>
      <c r="Z439" s="8" t="s">
        <v>1757</v>
      </c>
      <c r="AA439" s="9"/>
      <c r="AB439" s="9" t="s">
        <v>2347</v>
      </c>
      <c r="AC439" s="46" t="s">
        <v>2351</v>
      </c>
    </row>
    <row r="440" spans="1:29" ht="33.75" customHeight="1">
      <c r="A440" s="9">
        <v>43</v>
      </c>
      <c r="B440" s="8" t="s">
        <v>124</v>
      </c>
      <c r="C440" s="9">
        <v>369700</v>
      </c>
      <c r="D440" s="9">
        <v>580100</v>
      </c>
      <c r="E440" s="9" t="s">
        <v>1989</v>
      </c>
      <c r="F440" s="9">
        <v>55.114362283799998</v>
      </c>
      <c r="G440" s="9">
        <v>-2.4765482429299999</v>
      </c>
      <c r="H440" s="9" t="s">
        <v>295</v>
      </c>
      <c r="I440" s="8" t="s">
        <v>176</v>
      </c>
      <c r="J440" s="9">
        <v>300</v>
      </c>
      <c r="K440" s="11" t="s">
        <v>43</v>
      </c>
      <c r="L440" s="11" t="s">
        <v>183</v>
      </c>
      <c r="M440" s="8">
        <v>470</v>
      </c>
      <c r="N440" s="8">
        <v>350</v>
      </c>
      <c r="O440" s="11">
        <f t="shared" si="6"/>
        <v>120</v>
      </c>
      <c r="P440" s="22">
        <v>2</v>
      </c>
      <c r="Q440" s="12">
        <f t="shared" si="7"/>
        <v>16.666666666666668</v>
      </c>
      <c r="R440" s="11" t="s">
        <v>40</v>
      </c>
      <c r="S440" s="8">
        <v>6</v>
      </c>
      <c r="T440" s="12">
        <f t="shared" si="8"/>
        <v>50</v>
      </c>
      <c r="U440" s="11" t="s">
        <v>592</v>
      </c>
      <c r="V440" s="11" t="s">
        <v>593</v>
      </c>
      <c r="W440" s="11" t="s">
        <v>178</v>
      </c>
      <c r="X440" s="9" t="s">
        <v>180</v>
      </c>
      <c r="Y440" s="9" t="s">
        <v>100</v>
      </c>
      <c r="Z440" s="8" t="s">
        <v>179</v>
      </c>
      <c r="AA440" s="9"/>
      <c r="AB440" s="9" t="s">
        <v>2347</v>
      </c>
      <c r="AC440" s="46" t="s">
        <v>2351</v>
      </c>
    </row>
    <row r="441" spans="1:29" ht="33.75" customHeight="1">
      <c r="A441" s="9"/>
      <c r="B441" s="8" t="s">
        <v>1742</v>
      </c>
      <c r="C441" s="9">
        <v>381600</v>
      </c>
      <c r="D441" s="9">
        <v>493600</v>
      </c>
      <c r="E441" s="9" t="s">
        <v>2528</v>
      </c>
      <c r="F441" s="9">
        <v>54.337621591900003</v>
      </c>
      <c r="G441" s="9">
        <v>-2.28449448309</v>
      </c>
      <c r="H441" s="9"/>
      <c r="I441" s="8" t="s">
        <v>1762</v>
      </c>
      <c r="J441" s="9">
        <v>503</v>
      </c>
      <c r="K441" s="11"/>
      <c r="L441" s="11" t="s">
        <v>2</v>
      </c>
      <c r="M441" s="8" t="s">
        <v>592</v>
      </c>
      <c r="N441" s="8" t="s">
        <v>592</v>
      </c>
      <c r="O441" s="11" t="s">
        <v>592</v>
      </c>
      <c r="P441" s="22">
        <v>0</v>
      </c>
      <c r="Q441" s="12"/>
      <c r="R441" s="11" t="s">
        <v>237</v>
      </c>
      <c r="S441" s="8">
        <v>4</v>
      </c>
      <c r="T441" s="12"/>
      <c r="U441" s="11" t="s">
        <v>592</v>
      </c>
      <c r="V441" s="11" t="s">
        <v>593</v>
      </c>
      <c r="W441" s="11"/>
      <c r="X441" s="9" t="s">
        <v>1338</v>
      </c>
      <c r="Y441" s="9"/>
      <c r="Z441" s="8" t="s">
        <v>483</v>
      </c>
      <c r="AA441" s="9"/>
      <c r="AB441" s="9" t="s">
        <v>2347</v>
      </c>
      <c r="AC441" s="46" t="s">
        <v>2351</v>
      </c>
    </row>
    <row r="442" spans="1:29" ht="33.75" customHeight="1">
      <c r="A442" s="9"/>
      <c r="B442" s="8" t="s">
        <v>1742</v>
      </c>
      <c r="C442" s="9">
        <v>384300</v>
      </c>
      <c r="D442" s="9">
        <v>528700</v>
      </c>
      <c r="E442" s="9" t="s">
        <v>2528</v>
      </c>
      <c r="F442" s="9">
        <v>54.653149998700002</v>
      </c>
      <c r="G442" s="9">
        <v>-2.2448491547099998</v>
      </c>
      <c r="H442" s="9"/>
      <c r="I442" s="8" t="s">
        <v>1763</v>
      </c>
      <c r="J442" s="9">
        <v>531</v>
      </c>
      <c r="K442" s="11"/>
      <c r="L442" s="11" t="s">
        <v>2</v>
      </c>
      <c r="M442" s="8" t="s">
        <v>592</v>
      </c>
      <c r="N442" s="8" t="s">
        <v>592</v>
      </c>
      <c r="O442" s="11" t="s">
        <v>592</v>
      </c>
      <c r="P442" s="22">
        <v>0</v>
      </c>
      <c r="Q442" s="12"/>
      <c r="R442" s="11" t="s">
        <v>237</v>
      </c>
      <c r="S442" s="8">
        <v>5</v>
      </c>
      <c r="T442" s="12"/>
      <c r="U442" s="11" t="s">
        <v>592</v>
      </c>
      <c r="V442" s="11" t="s">
        <v>593</v>
      </c>
      <c r="W442" s="11"/>
      <c r="X442" s="9" t="s">
        <v>1338</v>
      </c>
      <c r="Y442" s="9"/>
      <c r="Z442" s="8" t="s">
        <v>483</v>
      </c>
      <c r="AA442" s="9"/>
      <c r="AB442" s="9" t="s">
        <v>2347</v>
      </c>
      <c r="AC442" s="46" t="s">
        <v>2351</v>
      </c>
    </row>
    <row r="443" spans="1:29" ht="33.75" customHeight="1">
      <c r="A443" s="9"/>
      <c r="B443" s="8" t="s">
        <v>1742</v>
      </c>
      <c r="C443" s="9">
        <v>378200</v>
      </c>
      <c r="D443" s="9">
        <v>535000</v>
      </c>
      <c r="E443" s="9" t="s">
        <v>2528</v>
      </c>
      <c r="F443" s="9">
        <v>54.709536593000003</v>
      </c>
      <c r="G443" s="9">
        <v>-2.3398633548199999</v>
      </c>
      <c r="H443" s="9"/>
      <c r="I443" s="8" t="s">
        <v>1764</v>
      </c>
      <c r="J443" s="9">
        <v>579</v>
      </c>
      <c r="K443" s="11"/>
      <c r="L443" s="11" t="s">
        <v>2</v>
      </c>
      <c r="M443" s="8" t="s">
        <v>592</v>
      </c>
      <c r="N443" s="8" t="s">
        <v>592</v>
      </c>
      <c r="O443" s="11" t="s">
        <v>592</v>
      </c>
      <c r="P443" s="22">
        <v>0</v>
      </c>
      <c r="Q443" s="12"/>
      <c r="R443" s="11" t="s">
        <v>237</v>
      </c>
      <c r="S443" s="8">
        <v>11</v>
      </c>
      <c r="T443" s="12"/>
      <c r="U443" s="11" t="s">
        <v>592</v>
      </c>
      <c r="V443" s="11" t="s">
        <v>593</v>
      </c>
      <c r="W443" s="11"/>
      <c r="X443" s="9" t="s">
        <v>1338</v>
      </c>
      <c r="Y443" s="9"/>
      <c r="Z443" s="8" t="s">
        <v>483</v>
      </c>
      <c r="AA443" s="9"/>
      <c r="AB443" s="9" t="s">
        <v>2347</v>
      </c>
      <c r="AC443" s="46" t="s">
        <v>2351</v>
      </c>
    </row>
    <row r="444" spans="1:29" ht="33.75" customHeight="1">
      <c r="A444" s="9"/>
      <c r="B444" s="8" t="s">
        <v>1742</v>
      </c>
      <c r="C444" s="9">
        <v>380400</v>
      </c>
      <c r="D444" s="9">
        <v>530000</v>
      </c>
      <c r="E444" s="9" t="s">
        <v>2528</v>
      </c>
      <c r="F444" s="9">
        <v>54.664695118700003</v>
      </c>
      <c r="G444" s="9">
        <v>-2.3053813924300002</v>
      </c>
      <c r="H444" s="9"/>
      <c r="I444" s="8" t="s">
        <v>1767</v>
      </c>
      <c r="J444" s="9">
        <v>466</v>
      </c>
      <c r="K444" s="11"/>
      <c r="L444" s="11" t="s">
        <v>2</v>
      </c>
      <c r="M444" s="8" t="s">
        <v>592</v>
      </c>
      <c r="N444" s="8" t="s">
        <v>592</v>
      </c>
      <c r="O444" s="11" t="s">
        <v>592</v>
      </c>
      <c r="P444" s="22">
        <v>0</v>
      </c>
      <c r="Q444" s="12"/>
      <c r="R444" s="11" t="s">
        <v>237</v>
      </c>
      <c r="S444" s="8">
        <v>4</v>
      </c>
      <c r="T444" s="12"/>
      <c r="U444" s="11" t="s">
        <v>592</v>
      </c>
      <c r="V444" s="11" t="s">
        <v>593</v>
      </c>
      <c r="W444" s="11"/>
      <c r="X444" s="9" t="s">
        <v>1338</v>
      </c>
      <c r="Y444" s="9"/>
      <c r="Z444" s="8" t="s">
        <v>483</v>
      </c>
      <c r="AA444" s="9"/>
      <c r="AB444" s="9" t="s">
        <v>2347</v>
      </c>
      <c r="AC444" s="46" t="s">
        <v>2351</v>
      </c>
    </row>
    <row r="445" spans="1:29" ht="33.75" customHeight="1">
      <c r="A445" s="9"/>
      <c r="B445" s="8" t="s">
        <v>1742</v>
      </c>
      <c r="C445" s="9">
        <v>387100</v>
      </c>
      <c r="D445" s="9">
        <v>529300</v>
      </c>
      <c r="E445" s="9" t="s">
        <v>2528</v>
      </c>
      <c r="F445" s="9">
        <v>54.658621995300003</v>
      </c>
      <c r="G445" s="9">
        <v>-2.2014794793800001</v>
      </c>
      <c r="H445" s="9"/>
      <c r="I445" s="8" t="s">
        <v>1768</v>
      </c>
      <c r="J445" s="9">
        <v>364</v>
      </c>
      <c r="K445" s="11"/>
      <c r="L445" s="11" t="s">
        <v>2</v>
      </c>
      <c r="M445" s="8" t="s">
        <v>592</v>
      </c>
      <c r="N445" s="8" t="s">
        <v>592</v>
      </c>
      <c r="O445" s="11" t="s">
        <v>592</v>
      </c>
      <c r="P445" s="22">
        <v>0</v>
      </c>
      <c r="Q445" s="12"/>
      <c r="R445" s="11" t="s">
        <v>237</v>
      </c>
      <c r="S445" s="8">
        <v>5</v>
      </c>
      <c r="T445" s="12"/>
      <c r="U445" s="11" t="s">
        <v>592</v>
      </c>
      <c r="V445" s="11" t="s">
        <v>593</v>
      </c>
      <c r="W445" s="11"/>
      <c r="X445" s="9" t="s">
        <v>1338</v>
      </c>
      <c r="Y445" s="9"/>
      <c r="Z445" s="8" t="s">
        <v>483</v>
      </c>
      <c r="AA445" s="9"/>
      <c r="AB445" s="9" t="s">
        <v>2347</v>
      </c>
      <c r="AC445" s="46" t="s">
        <v>2351</v>
      </c>
    </row>
    <row r="446" spans="1:29" ht="33.75" customHeight="1">
      <c r="A446" s="9">
        <v>43</v>
      </c>
      <c r="B446" s="8" t="s">
        <v>124</v>
      </c>
      <c r="C446" s="9">
        <v>372600</v>
      </c>
      <c r="D446" s="9">
        <v>578200</v>
      </c>
      <c r="E446" s="9" t="s">
        <v>1989</v>
      </c>
      <c r="F446" s="9">
        <v>55.0974587834</v>
      </c>
      <c r="G446" s="9">
        <v>-2.4309028848200001</v>
      </c>
      <c r="H446" s="9" t="s">
        <v>296</v>
      </c>
      <c r="I446" s="8" t="s">
        <v>177</v>
      </c>
      <c r="J446" s="9">
        <v>315</v>
      </c>
      <c r="K446" s="11" t="s">
        <v>43</v>
      </c>
      <c r="L446" s="11" t="s">
        <v>183</v>
      </c>
      <c r="M446" s="8">
        <v>1250</v>
      </c>
      <c r="N446" s="8">
        <v>895</v>
      </c>
      <c r="O446" s="11">
        <f>M446-N446</f>
        <v>355</v>
      </c>
      <c r="P446" s="22">
        <v>2</v>
      </c>
      <c r="Q446" s="12">
        <f>P446/O446*1000</f>
        <v>5.6338028169014089</v>
      </c>
      <c r="R446" s="11" t="s">
        <v>40</v>
      </c>
      <c r="S446" s="8">
        <v>6</v>
      </c>
      <c r="T446" s="12">
        <f>S446/O446*1000</f>
        <v>16.901408450704224</v>
      </c>
      <c r="U446" s="11" t="s">
        <v>592</v>
      </c>
      <c r="V446" s="11" t="s">
        <v>593</v>
      </c>
      <c r="W446" s="11" t="s">
        <v>178</v>
      </c>
      <c r="X446" s="9" t="s">
        <v>180</v>
      </c>
      <c r="Y446" s="9" t="s">
        <v>100</v>
      </c>
      <c r="Z446" s="8" t="s">
        <v>179</v>
      </c>
      <c r="AA446" s="9"/>
      <c r="AB446" s="9" t="s">
        <v>2347</v>
      </c>
      <c r="AC446" s="46" t="s">
        <v>2351</v>
      </c>
    </row>
    <row r="447" spans="1:29" ht="33.75" customHeight="1">
      <c r="A447" s="9"/>
      <c r="B447" s="8" t="s">
        <v>124</v>
      </c>
      <c r="C447" s="9">
        <v>367900</v>
      </c>
      <c r="D447" s="9">
        <v>565800</v>
      </c>
      <c r="E447" s="9" t="s">
        <v>2529</v>
      </c>
      <c r="F447" s="9">
        <v>54.985752638699999</v>
      </c>
      <c r="G447" s="9">
        <v>-2.5031510580899998</v>
      </c>
      <c r="H447" s="9" t="s">
        <v>1769</v>
      </c>
      <c r="I447" s="8" t="s">
        <v>527</v>
      </c>
      <c r="J447" s="9">
        <v>200</v>
      </c>
      <c r="K447" s="11"/>
      <c r="L447" s="11" t="s">
        <v>2</v>
      </c>
      <c r="M447" s="8">
        <v>3688</v>
      </c>
      <c r="N447" s="8">
        <v>434</v>
      </c>
      <c r="O447" s="11">
        <f>M447-N447</f>
        <v>3254</v>
      </c>
      <c r="P447" s="22">
        <v>5</v>
      </c>
      <c r="Q447" s="12">
        <f>P447/O447*1000</f>
        <v>1.5365703749231714</v>
      </c>
      <c r="R447" s="11" t="s">
        <v>237</v>
      </c>
      <c r="S447" s="8">
        <v>55</v>
      </c>
      <c r="T447" s="12">
        <f>S447/O447*1000</f>
        <v>16.902274124154886</v>
      </c>
      <c r="U447" s="11">
        <v>500</v>
      </c>
      <c r="V447" s="11" t="s">
        <v>594</v>
      </c>
      <c r="W447" s="11"/>
      <c r="X447" s="9" t="s">
        <v>1338</v>
      </c>
      <c r="Y447" s="9"/>
      <c r="Z447" s="8" t="s">
        <v>1757</v>
      </c>
      <c r="AA447" s="9"/>
      <c r="AB447" s="9" t="s">
        <v>2347</v>
      </c>
      <c r="AC447" s="46" t="s">
        <v>2351</v>
      </c>
    </row>
    <row r="448" spans="1:29" ht="33.75" customHeight="1">
      <c r="A448" s="9"/>
      <c r="B448" s="8" t="s">
        <v>1742</v>
      </c>
      <c r="C448" s="9">
        <v>386200</v>
      </c>
      <c r="D448" s="9">
        <v>483400</v>
      </c>
      <c r="E448" s="9" t="s">
        <v>2528</v>
      </c>
      <c r="F448" s="9">
        <v>54.2460988626</v>
      </c>
      <c r="G448" s="9">
        <v>-2.2132727402899999</v>
      </c>
      <c r="H448" s="9"/>
      <c r="I448" s="8" t="s">
        <v>1770</v>
      </c>
      <c r="J448" s="9">
        <v>560</v>
      </c>
      <c r="K448" s="11"/>
      <c r="L448" s="11" t="s">
        <v>2</v>
      </c>
      <c r="M448" s="8" t="s">
        <v>592</v>
      </c>
      <c r="N448" s="8" t="s">
        <v>592</v>
      </c>
      <c r="O448" s="11" t="s">
        <v>592</v>
      </c>
      <c r="P448" s="22">
        <v>0</v>
      </c>
      <c r="Q448" s="12"/>
      <c r="R448" s="11" t="s">
        <v>237</v>
      </c>
      <c r="S448" s="8">
        <v>4</v>
      </c>
      <c r="T448" s="12"/>
      <c r="U448" s="11" t="s">
        <v>592</v>
      </c>
      <c r="V448" s="11" t="s">
        <v>593</v>
      </c>
      <c r="W448" s="11"/>
      <c r="X448" s="9" t="s">
        <v>1338</v>
      </c>
      <c r="Y448" s="9"/>
      <c r="Z448" s="8" t="s">
        <v>483</v>
      </c>
      <c r="AA448" s="9"/>
      <c r="AB448" s="9" t="s">
        <v>2347</v>
      </c>
      <c r="AC448" s="46" t="s">
        <v>2351</v>
      </c>
    </row>
    <row r="449" spans="1:29" ht="33.75" customHeight="1">
      <c r="A449" s="9"/>
      <c r="B449" s="8" t="s">
        <v>1742</v>
      </c>
      <c r="C449" s="9">
        <v>387000</v>
      </c>
      <c r="D449" s="9">
        <v>506200</v>
      </c>
      <c r="E449" s="9" t="s">
        <v>2528</v>
      </c>
      <c r="F449" s="9">
        <v>54.451025206200001</v>
      </c>
      <c r="G449" s="9">
        <v>-2.20199979078</v>
      </c>
      <c r="H449" s="9"/>
      <c r="I449" s="8" t="s">
        <v>1771</v>
      </c>
      <c r="J449" s="9">
        <v>540</v>
      </c>
      <c r="K449" s="11"/>
      <c r="L449" s="11" t="s">
        <v>2</v>
      </c>
      <c r="M449" s="8" t="s">
        <v>592</v>
      </c>
      <c r="N449" s="8" t="s">
        <v>592</v>
      </c>
      <c r="O449" s="11" t="s">
        <v>592</v>
      </c>
      <c r="P449" s="22">
        <v>0</v>
      </c>
      <c r="Q449" s="12"/>
      <c r="R449" s="11" t="s">
        <v>237</v>
      </c>
      <c r="S449" s="8">
        <v>5</v>
      </c>
      <c r="T449" s="12"/>
      <c r="U449" s="11" t="s">
        <v>592</v>
      </c>
      <c r="V449" s="11" t="s">
        <v>593</v>
      </c>
      <c r="W449" s="11"/>
      <c r="X449" s="9" t="s">
        <v>1338</v>
      </c>
      <c r="Y449" s="9"/>
      <c r="Z449" s="8" t="s">
        <v>483</v>
      </c>
      <c r="AA449" s="9"/>
      <c r="AB449" s="9" t="s">
        <v>2347</v>
      </c>
      <c r="AC449" s="46" t="s">
        <v>2351</v>
      </c>
    </row>
    <row r="450" spans="1:29" ht="33.75" customHeight="1">
      <c r="A450" s="9"/>
      <c r="B450" s="8" t="s">
        <v>241</v>
      </c>
      <c r="C450" s="9">
        <v>401700</v>
      </c>
      <c r="D450" s="9">
        <v>557500</v>
      </c>
      <c r="E450" s="9" t="s">
        <v>2530</v>
      </c>
      <c r="F450" s="9">
        <v>54.9122060033</v>
      </c>
      <c r="G450" s="9">
        <v>-1.97501207291</v>
      </c>
      <c r="H450" s="9"/>
      <c r="I450" s="8" t="s">
        <v>1772</v>
      </c>
      <c r="J450" s="9">
        <v>204</v>
      </c>
      <c r="K450" s="11"/>
      <c r="L450" s="11" t="s">
        <v>2</v>
      </c>
      <c r="M450" s="8" t="s">
        <v>592</v>
      </c>
      <c r="N450" s="8" t="s">
        <v>592</v>
      </c>
      <c r="O450" s="11" t="s">
        <v>592</v>
      </c>
      <c r="P450" s="22">
        <v>0</v>
      </c>
      <c r="Q450" s="12"/>
      <c r="R450" s="11" t="s">
        <v>237</v>
      </c>
      <c r="S450" s="8">
        <v>55</v>
      </c>
      <c r="T450" s="12"/>
      <c r="U450" s="11" t="s">
        <v>592</v>
      </c>
      <c r="V450" s="11" t="s">
        <v>593</v>
      </c>
      <c r="W450" s="11"/>
      <c r="X450" s="9" t="s">
        <v>1338</v>
      </c>
      <c r="Y450" s="9"/>
      <c r="Z450" s="8" t="s">
        <v>482</v>
      </c>
      <c r="AA450" s="9"/>
      <c r="AB450" s="9" t="s">
        <v>2347</v>
      </c>
      <c r="AC450" s="46" t="s">
        <v>2351</v>
      </c>
    </row>
    <row r="451" spans="1:29" ht="33.75" customHeight="1">
      <c r="A451" s="9"/>
      <c r="B451" s="8" t="s">
        <v>1742</v>
      </c>
      <c r="C451" s="9">
        <v>401700</v>
      </c>
      <c r="D451" s="9">
        <v>557500</v>
      </c>
      <c r="E451" s="9" t="s">
        <v>2528</v>
      </c>
      <c r="F451" s="9">
        <v>54.9122060033</v>
      </c>
      <c r="G451" s="9">
        <v>-1.97501207291</v>
      </c>
      <c r="H451" s="9"/>
      <c r="I451" s="8" t="s">
        <v>1773</v>
      </c>
      <c r="J451" s="9">
        <v>204</v>
      </c>
      <c r="K451" s="11"/>
      <c r="L451" s="11" t="s">
        <v>2</v>
      </c>
      <c r="M451" s="8" t="s">
        <v>592</v>
      </c>
      <c r="N451" s="8" t="s">
        <v>592</v>
      </c>
      <c r="O451" s="11" t="s">
        <v>592</v>
      </c>
      <c r="P451" s="22">
        <v>0</v>
      </c>
      <c r="Q451" s="12"/>
      <c r="R451" s="11" t="s">
        <v>237</v>
      </c>
      <c r="S451" s="8">
        <v>5</v>
      </c>
      <c r="T451" s="12"/>
      <c r="U451" s="11" t="s">
        <v>592</v>
      </c>
      <c r="V451" s="11" t="s">
        <v>593</v>
      </c>
      <c r="W451" s="11"/>
      <c r="X451" s="9" t="s">
        <v>1338</v>
      </c>
      <c r="Y451" s="9"/>
      <c r="Z451" s="8" t="s">
        <v>483</v>
      </c>
      <c r="AA451" s="9"/>
      <c r="AB451" s="9" t="s">
        <v>2347</v>
      </c>
      <c r="AC451" s="46" t="s">
        <v>2351</v>
      </c>
    </row>
    <row r="452" spans="1:29" ht="33.75" customHeight="1">
      <c r="A452" s="9">
        <v>40</v>
      </c>
      <c r="B452" s="8" t="s">
        <v>169</v>
      </c>
      <c r="C452" s="9">
        <v>384466</v>
      </c>
      <c r="D452" s="9">
        <v>528851</v>
      </c>
      <c r="E452" s="9" t="s">
        <v>2549</v>
      </c>
      <c r="F452" s="9">
        <v>54.654512151799999</v>
      </c>
      <c r="G452" s="9">
        <v>-2.2422844561400002</v>
      </c>
      <c r="H452" s="9" t="s">
        <v>310</v>
      </c>
      <c r="I452" s="8" t="s">
        <v>168</v>
      </c>
      <c r="J452" s="9">
        <v>533</v>
      </c>
      <c r="K452" s="11" t="s">
        <v>168</v>
      </c>
      <c r="L452" s="11" t="s">
        <v>2</v>
      </c>
      <c r="M452" s="8" t="s">
        <v>592</v>
      </c>
      <c r="N452" s="8" t="s">
        <v>592</v>
      </c>
      <c r="O452" s="11" t="s">
        <v>592</v>
      </c>
      <c r="P452" s="22">
        <v>0</v>
      </c>
      <c r="Q452" s="12"/>
      <c r="R452" s="11" t="s">
        <v>40</v>
      </c>
      <c r="S452" s="8">
        <v>49</v>
      </c>
      <c r="T452" s="12"/>
      <c r="U452" s="11">
        <v>1000</v>
      </c>
      <c r="V452" s="11" t="s">
        <v>593</v>
      </c>
      <c r="W452" s="11" t="s">
        <v>170</v>
      </c>
      <c r="X452" s="9" t="s">
        <v>171</v>
      </c>
      <c r="Y452" s="9" t="s">
        <v>100</v>
      </c>
      <c r="Z452" s="8" t="s">
        <v>173</v>
      </c>
      <c r="AA452" s="9"/>
      <c r="AB452" s="9" t="s">
        <v>2347</v>
      </c>
      <c r="AC452" s="46" t="s">
        <v>2351</v>
      </c>
    </row>
    <row r="453" spans="1:29" ht="33.75" customHeight="1">
      <c r="A453" s="9"/>
      <c r="B453" s="8" t="s">
        <v>1742</v>
      </c>
      <c r="C453" s="9">
        <v>384200</v>
      </c>
      <c r="D453" s="9">
        <v>528200</v>
      </c>
      <c r="E453" s="9" t="s">
        <v>2528</v>
      </c>
      <c r="F453" s="9">
        <v>54.648653557400003</v>
      </c>
      <c r="G453" s="9">
        <v>-2.2463718135600002</v>
      </c>
      <c r="H453" s="9"/>
      <c r="I453" s="8" t="s">
        <v>168</v>
      </c>
      <c r="J453" s="9">
        <v>526</v>
      </c>
      <c r="K453" s="11"/>
      <c r="L453" s="11" t="s">
        <v>2</v>
      </c>
      <c r="M453" s="8" t="s">
        <v>592</v>
      </c>
      <c r="N453" s="8" t="s">
        <v>592</v>
      </c>
      <c r="O453" s="11" t="s">
        <v>592</v>
      </c>
      <c r="P453" s="22">
        <v>0</v>
      </c>
      <c r="Q453" s="12"/>
      <c r="R453" s="11" t="s">
        <v>237</v>
      </c>
      <c r="S453" s="8">
        <v>8</v>
      </c>
      <c r="T453" s="12"/>
      <c r="U453" s="11" t="s">
        <v>592</v>
      </c>
      <c r="V453" s="11" t="s">
        <v>593</v>
      </c>
      <c r="W453" s="11"/>
      <c r="X453" s="9" t="s">
        <v>1338</v>
      </c>
      <c r="Y453" s="9"/>
      <c r="Z453" s="8" t="s">
        <v>483</v>
      </c>
      <c r="AA453" s="9"/>
      <c r="AB453" s="9" t="s">
        <v>2347</v>
      </c>
      <c r="AC453" s="46" t="s">
        <v>2351</v>
      </c>
    </row>
    <row r="454" spans="1:29" ht="33.75" customHeight="1">
      <c r="A454" s="9"/>
      <c r="B454" s="8" t="s">
        <v>1742</v>
      </c>
      <c r="C454" s="9">
        <v>386000</v>
      </c>
      <c r="D454" s="9">
        <v>553100</v>
      </c>
      <c r="E454" s="9" t="s">
        <v>2528</v>
      </c>
      <c r="F454" s="9">
        <v>54.872469616899998</v>
      </c>
      <c r="G454" s="9">
        <v>-2.2196871048400002</v>
      </c>
      <c r="H454" s="9"/>
      <c r="I454" s="8" t="s">
        <v>1774</v>
      </c>
      <c r="J454" s="9">
        <v>396</v>
      </c>
      <c r="K454" s="11"/>
      <c r="L454" s="11" t="s">
        <v>2</v>
      </c>
      <c r="M454" s="8" t="s">
        <v>592</v>
      </c>
      <c r="N454" s="8" t="s">
        <v>592</v>
      </c>
      <c r="O454" s="11" t="s">
        <v>592</v>
      </c>
      <c r="P454" s="22">
        <v>0</v>
      </c>
      <c r="Q454" s="12"/>
      <c r="R454" s="11" t="s">
        <v>237</v>
      </c>
      <c r="S454" s="8">
        <v>5</v>
      </c>
      <c r="T454" s="12"/>
      <c r="U454" s="11" t="s">
        <v>592</v>
      </c>
      <c r="V454" s="11" t="s">
        <v>593</v>
      </c>
      <c r="W454" s="11"/>
      <c r="X454" s="9" t="s">
        <v>1338</v>
      </c>
      <c r="Y454" s="9"/>
      <c r="Z454" s="8" t="s">
        <v>483</v>
      </c>
      <c r="AA454" s="9"/>
      <c r="AB454" s="9" t="s">
        <v>2347</v>
      </c>
      <c r="AC454" s="46" t="s">
        <v>2351</v>
      </c>
    </row>
    <row r="455" spans="1:29" ht="33.75" customHeight="1">
      <c r="A455" s="9"/>
      <c r="B455" s="8" t="s">
        <v>1742</v>
      </c>
      <c r="C455" s="9">
        <v>386200</v>
      </c>
      <c r="D455" s="9">
        <v>534700</v>
      </c>
      <c r="E455" s="9" t="s">
        <v>2528</v>
      </c>
      <c r="F455" s="9">
        <v>54.707125402099997</v>
      </c>
      <c r="G455" s="9">
        <v>-2.2156876107499999</v>
      </c>
      <c r="H455" s="9"/>
      <c r="I455" s="8" t="s">
        <v>1775</v>
      </c>
      <c r="J455" s="9">
        <v>610</v>
      </c>
      <c r="K455" s="11"/>
      <c r="L455" s="11" t="s">
        <v>2</v>
      </c>
      <c r="M455" s="8" t="s">
        <v>592</v>
      </c>
      <c r="N455" s="8" t="s">
        <v>592</v>
      </c>
      <c r="O455" s="11" t="s">
        <v>592</v>
      </c>
      <c r="P455" s="22">
        <v>0</v>
      </c>
      <c r="Q455" s="12"/>
      <c r="R455" s="11" t="s">
        <v>237</v>
      </c>
      <c r="S455" s="8">
        <v>8</v>
      </c>
      <c r="T455" s="12"/>
      <c r="U455" s="11" t="s">
        <v>592</v>
      </c>
      <c r="V455" s="11" t="s">
        <v>593</v>
      </c>
      <c r="W455" s="11"/>
      <c r="X455" s="9" t="s">
        <v>1338</v>
      </c>
      <c r="Y455" s="9"/>
      <c r="Z455" s="8" t="s">
        <v>483</v>
      </c>
      <c r="AA455" s="9"/>
      <c r="AB455" s="9" t="s">
        <v>2347</v>
      </c>
      <c r="AC455" s="46" t="s">
        <v>2351</v>
      </c>
    </row>
    <row r="456" spans="1:29" ht="33.75" customHeight="1">
      <c r="A456" s="9"/>
      <c r="B456" s="8" t="s">
        <v>1742</v>
      </c>
      <c r="C456" s="9">
        <v>392500</v>
      </c>
      <c r="D456" s="9">
        <v>532100</v>
      </c>
      <c r="E456" s="9" t="s">
        <v>2528</v>
      </c>
      <c r="F456" s="9">
        <v>54.683895010900002</v>
      </c>
      <c r="G456" s="9">
        <v>-2.1178478579100002</v>
      </c>
      <c r="H456" s="9"/>
      <c r="I456" s="8" t="s">
        <v>1776</v>
      </c>
      <c r="J456" s="9">
        <v>655</v>
      </c>
      <c r="K456" s="11"/>
      <c r="L456" s="11" t="s">
        <v>2</v>
      </c>
      <c r="M456" s="8" t="s">
        <v>592</v>
      </c>
      <c r="N456" s="8" t="s">
        <v>592</v>
      </c>
      <c r="O456" s="11" t="s">
        <v>592</v>
      </c>
      <c r="P456" s="22">
        <v>0</v>
      </c>
      <c r="Q456" s="12"/>
      <c r="R456" s="11" t="s">
        <v>237</v>
      </c>
      <c r="S456" s="8">
        <v>6</v>
      </c>
      <c r="T456" s="12"/>
      <c r="U456" s="11" t="s">
        <v>592</v>
      </c>
      <c r="V456" s="11" t="s">
        <v>593</v>
      </c>
      <c r="W456" s="11"/>
      <c r="X456" s="9" t="s">
        <v>1338</v>
      </c>
      <c r="Y456" s="9"/>
      <c r="Z456" s="8" t="s">
        <v>483</v>
      </c>
      <c r="AA456" s="9"/>
      <c r="AB456" s="9" t="s">
        <v>2347</v>
      </c>
      <c r="AC456" s="46" t="s">
        <v>2351</v>
      </c>
    </row>
    <row r="457" spans="1:29" ht="33.75" customHeight="1">
      <c r="A457" s="9"/>
      <c r="B457" s="8" t="s">
        <v>1742</v>
      </c>
      <c r="C457" s="9">
        <v>379900</v>
      </c>
      <c r="D457" s="9">
        <v>541800</v>
      </c>
      <c r="E457" s="9" t="s">
        <v>2528</v>
      </c>
      <c r="F457" s="9">
        <v>54.770715308200003</v>
      </c>
      <c r="G457" s="9">
        <v>-2.3139518364299998</v>
      </c>
      <c r="H457" s="9"/>
      <c r="I457" s="8" t="s">
        <v>1777</v>
      </c>
      <c r="J457" s="9">
        <v>655</v>
      </c>
      <c r="K457" s="11"/>
      <c r="L457" s="11" t="s">
        <v>2</v>
      </c>
      <c r="M457" s="8" t="s">
        <v>592</v>
      </c>
      <c r="N457" s="8" t="s">
        <v>592</v>
      </c>
      <c r="O457" s="11" t="s">
        <v>592</v>
      </c>
      <c r="P457" s="22">
        <v>0</v>
      </c>
      <c r="Q457" s="12"/>
      <c r="R457" s="11" t="s">
        <v>237</v>
      </c>
      <c r="S457" s="8">
        <v>5</v>
      </c>
      <c r="T457" s="12"/>
      <c r="U457" s="11" t="s">
        <v>592</v>
      </c>
      <c r="V457" s="11" t="s">
        <v>593</v>
      </c>
      <c r="W457" s="11"/>
      <c r="X457" s="9" t="s">
        <v>1338</v>
      </c>
      <c r="Y457" s="9"/>
      <c r="Z457" s="8" t="s">
        <v>483</v>
      </c>
      <c r="AA457" s="9"/>
      <c r="AB457" s="9" t="s">
        <v>2347</v>
      </c>
      <c r="AC457" s="46" t="s">
        <v>2351</v>
      </c>
    </row>
    <row r="458" spans="1:29" ht="33.75" customHeight="1">
      <c r="A458" s="9"/>
      <c r="B458" s="8" t="s">
        <v>241</v>
      </c>
      <c r="C458" s="9">
        <v>402400</v>
      </c>
      <c r="D458" s="9">
        <v>548900</v>
      </c>
      <c r="E458" s="9" t="s">
        <v>2530</v>
      </c>
      <c r="F458" s="9">
        <v>54.834920761699998</v>
      </c>
      <c r="G458" s="9">
        <v>-1.9641614731099999</v>
      </c>
      <c r="H458" s="9"/>
      <c r="I458" s="8" t="s">
        <v>1778</v>
      </c>
      <c r="J458" s="9">
        <v>334</v>
      </c>
      <c r="K458" s="11"/>
      <c r="L458" s="11" t="s">
        <v>2</v>
      </c>
      <c r="M458" s="8" t="s">
        <v>592</v>
      </c>
      <c r="N458" s="8" t="s">
        <v>592</v>
      </c>
      <c r="O458" s="11" t="s">
        <v>592</v>
      </c>
      <c r="P458" s="22">
        <v>0</v>
      </c>
      <c r="Q458" s="12"/>
      <c r="R458" s="11" t="s">
        <v>237</v>
      </c>
      <c r="S458" s="8">
        <v>28</v>
      </c>
      <c r="T458" s="12"/>
      <c r="U458" s="11" t="s">
        <v>592</v>
      </c>
      <c r="V458" s="11" t="s">
        <v>593</v>
      </c>
      <c r="W458" s="11"/>
      <c r="X458" s="9" t="s">
        <v>1338</v>
      </c>
      <c r="Y458" s="9"/>
      <c r="Z458" s="8" t="s">
        <v>482</v>
      </c>
      <c r="AA458" s="9"/>
      <c r="AB458" s="9" t="s">
        <v>2347</v>
      </c>
      <c r="AC458" s="46" t="s">
        <v>2351</v>
      </c>
    </row>
    <row r="459" spans="1:29" ht="33.75" customHeight="1">
      <c r="A459" s="9"/>
      <c r="B459" s="8" t="s">
        <v>1742</v>
      </c>
      <c r="C459" s="9">
        <v>402400</v>
      </c>
      <c r="D459" s="9">
        <v>548900</v>
      </c>
      <c r="E459" s="9" t="s">
        <v>2528</v>
      </c>
      <c r="F459" s="9">
        <v>54.834920761699998</v>
      </c>
      <c r="G459" s="9">
        <v>-1.9641614731099999</v>
      </c>
      <c r="H459" s="9"/>
      <c r="I459" s="8" t="s">
        <v>1778</v>
      </c>
      <c r="J459" s="9">
        <v>334</v>
      </c>
      <c r="K459" s="11"/>
      <c r="L459" s="11" t="s">
        <v>2</v>
      </c>
      <c r="M459" s="8" t="s">
        <v>592</v>
      </c>
      <c r="N459" s="8" t="s">
        <v>592</v>
      </c>
      <c r="O459" s="11" t="s">
        <v>592</v>
      </c>
      <c r="P459" s="22">
        <v>0</v>
      </c>
      <c r="Q459" s="12"/>
      <c r="R459" s="11" t="s">
        <v>237</v>
      </c>
      <c r="S459" s="8">
        <v>6</v>
      </c>
      <c r="T459" s="12"/>
      <c r="U459" s="11" t="s">
        <v>592</v>
      </c>
      <c r="V459" s="11" t="s">
        <v>593</v>
      </c>
      <c r="W459" s="11"/>
      <c r="X459" s="9" t="s">
        <v>1338</v>
      </c>
      <c r="Y459" s="9"/>
      <c r="Z459" s="8" t="s">
        <v>483</v>
      </c>
      <c r="AA459" s="9"/>
      <c r="AB459" s="9" t="s">
        <v>2347</v>
      </c>
      <c r="AC459" s="46" t="s">
        <v>2351</v>
      </c>
    </row>
    <row r="460" spans="1:29" ht="33.75" customHeight="1">
      <c r="A460" s="9"/>
      <c r="B460" s="8" t="s">
        <v>1742</v>
      </c>
      <c r="C460" s="9">
        <v>395900</v>
      </c>
      <c r="D460" s="9">
        <v>502800</v>
      </c>
      <c r="E460" s="9" t="s">
        <v>2528</v>
      </c>
      <c r="F460" s="9">
        <v>54.420621218400001</v>
      </c>
      <c r="G460" s="9">
        <v>-2.06469241917</v>
      </c>
      <c r="H460" s="9"/>
      <c r="I460" s="8" t="s">
        <v>1779</v>
      </c>
      <c r="J460" s="9">
        <v>520</v>
      </c>
      <c r="K460" s="11"/>
      <c r="L460" s="11" t="s">
        <v>2</v>
      </c>
      <c r="M460" s="8" t="s">
        <v>592</v>
      </c>
      <c r="N460" s="8" t="s">
        <v>592</v>
      </c>
      <c r="O460" s="11" t="s">
        <v>592</v>
      </c>
      <c r="P460" s="22">
        <v>0</v>
      </c>
      <c r="Q460" s="12"/>
      <c r="R460" s="11" t="s">
        <v>237</v>
      </c>
      <c r="S460" s="8">
        <v>5</v>
      </c>
      <c r="T460" s="12"/>
      <c r="U460" s="11" t="s">
        <v>592</v>
      </c>
      <c r="V460" s="11" t="s">
        <v>593</v>
      </c>
      <c r="W460" s="11"/>
      <c r="X460" s="9" t="s">
        <v>1338</v>
      </c>
      <c r="Y460" s="9"/>
      <c r="Z460" s="8" t="s">
        <v>483</v>
      </c>
      <c r="AA460" s="9"/>
      <c r="AB460" s="9" t="s">
        <v>2347</v>
      </c>
      <c r="AC460" s="46" t="s">
        <v>2351</v>
      </c>
    </row>
    <row r="461" spans="1:29" ht="33.75" customHeight="1">
      <c r="A461" s="9"/>
      <c r="B461" s="8" t="s">
        <v>1742</v>
      </c>
      <c r="C461" s="9">
        <v>383500</v>
      </c>
      <c r="D461" s="9">
        <v>525500</v>
      </c>
      <c r="E461" s="9" t="s">
        <v>2528</v>
      </c>
      <c r="F461" s="9">
        <v>54.6243671517</v>
      </c>
      <c r="G461" s="9">
        <v>-2.2570664264200002</v>
      </c>
      <c r="H461" s="9"/>
      <c r="I461" s="8" t="s">
        <v>1780</v>
      </c>
      <c r="J461" s="9">
        <v>669</v>
      </c>
      <c r="K461" s="11"/>
      <c r="L461" s="11" t="s">
        <v>2</v>
      </c>
      <c r="M461" s="8" t="s">
        <v>592</v>
      </c>
      <c r="N461" s="8" t="s">
        <v>592</v>
      </c>
      <c r="O461" s="11" t="s">
        <v>592</v>
      </c>
      <c r="P461" s="22">
        <v>0</v>
      </c>
      <c r="Q461" s="12"/>
      <c r="R461" s="11" t="s">
        <v>237</v>
      </c>
      <c r="S461" s="8">
        <v>7</v>
      </c>
      <c r="T461" s="12"/>
      <c r="U461" s="11" t="s">
        <v>592</v>
      </c>
      <c r="V461" s="11" t="s">
        <v>593</v>
      </c>
      <c r="W461" s="11"/>
      <c r="X461" s="9" t="s">
        <v>1338</v>
      </c>
      <c r="Y461" s="9"/>
      <c r="Z461" s="8" t="s">
        <v>483</v>
      </c>
      <c r="AA461" s="9"/>
      <c r="AB461" s="9" t="s">
        <v>2347</v>
      </c>
      <c r="AC461" s="46" t="s">
        <v>2351</v>
      </c>
    </row>
    <row r="462" spans="1:29" ht="33.75" customHeight="1">
      <c r="A462" s="9"/>
      <c r="B462" s="8" t="s">
        <v>1742</v>
      </c>
      <c r="C462" s="9">
        <v>386500</v>
      </c>
      <c r="D462" s="9">
        <v>560400</v>
      </c>
      <c r="E462" s="9" t="s">
        <v>2528</v>
      </c>
      <c r="F462" s="9">
        <v>54.938082978200001</v>
      </c>
      <c r="G462" s="9">
        <v>-2.2122409402400001</v>
      </c>
      <c r="H462" s="9"/>
      <c r="I462" s="8" t="s">
        <v>1781</v>
      </c>
      <c r="J462" s="9">
        <v>292</v>
      </c>
      <c r="K462" s="11"/>
      <c r="L462" s="11" t="s">
        <v>2</v>
      </c>
      <c r="M462" s="8" t="s">
        <v>592</v>
      </c>
      <c r="N462" s="8" t="s">
        <v>592</v>
      </c>
      <c r="O462" s="11" t="s">
        <v>592</v>
      </c>
      <c r="P462" s="22">
        <v>0</v>
      </c>
      <c r="Q462" s="12"/>
      <c r="R462" s="11" t="s">
        <v>237</v>
      </c>
      <c r="S462" s="8">
        <v>11</v>
      </c>
      <c r="T462" s="12"/>
      <c r="U462" s="11" t="s">
        <v>592</v>
      </c>
      <c r="V462" s="11" t="s">
        <v>593</v>
      </c>
      <c r="W462" s="11"/>
      <c r="X462" s="9" t="s">
        <v>1338</v>
      </c>
      <c r="Y462" s="9"/>
      <c r="Z462" s="8" t="s">
        <v>483</v>
      </c>
      <c r="AA462" s="9"/>
      <c r="AB462" s="9" t="s">
        <v>2347</v>
      </c>
      <c r="AC462" s="46" t="s">
        <v>2351</v>
      </c>
    </row>
    <row r="463" spans="1:29" ht="33.75" customHeight="1">
      <c r="A463" s="9"/>
      <c r="B463" s="8" t="s">
        <v>1742</v>
      </c>
      <c r="C463" s="9">
        <v>364800</v>
      </c>
      <c r="D463" s="9">
        <v>538500</v>
      </c>
      <c r="E463" s="9" t="s">
        <v>2528</v>
      </c>
      <c r="F463" s="9">
        <v>54.740226272900003</v>
      </c>
      <c r="G463" s="9">
        <v>-2.5482518126699998</v>
      </c>
      <c r="H463" s="9"/>
      <c r="I463" s="8" t="s">
        <v>1782</v>
      </c>
      <c r="J463" s="9">
        <v>661</v>
      </c>
      <c r="K463" s="11"/>
      <c r="L463" s="11" t="s">
        <v>2</v>
      </c>
      <c r="M463" s="8" t="s">
        <v>592</v>
      </c>
      <c r="N463" s="8" t="s">
        <v>592</v>
      </c>
      <c r="O463" s="11" t="s">
        <v>592</v>
      </c>
      <c r="P463" s="22">
        <v>0</v>
      </c>
      <c r="Q463" s="12"/>
      <c r="R463" s="11" t="s">
        <v>237</v>
      </c>
      <c r="S463" s="8">
        <v>7</v>
      </c>
      <c r="T463" s="12"/>
      <c r="U463" s="11" t="s">
        <v>592</v>
      </c>
      <c r="V463" s="11" t="s">
        <v>593</v>
      </c>
      <c r="W463" s="11"/>
      <c r="X463" s="9" t="s">
        <v>1338</v>
      </c>
      <c r="Y463" s="9"/>
      <c r="Z463" s="8" t="s">
        <v>483</v>
      </c>
      <c r="AA463" s="9"/>
      <c r="AB463" s="9" t="s">
        <v>2347</v>
      </c>
      <c r="AC463" s="46" t="s">
        <v>2351</v>
      </c>
    </row>
    <row r="464" spans="1:29" ht="33.75" customHeight="1">
      <c r="A464" s="9"/>
      <c r="B464" s="8" t="s">
        <v>1742</v>
      </c>
      <c r="C464" s="9">
        <v>381000</v>
      </c>
      <c r="D464" s="9">
        <v>524900</v>
      </c>
      <c r="E464" s="9" t="s">
        <v>2528</v>
      </c>
      <c r="F464" s="9">
        <v>54.6188867296</v>
      </c>
      <c r="G464" s="9">
        <v>-2.2957464593100001</v>
      </c>
      <c r="H464" s="9"/>
      <c r="I464" s="8" t="s">
        <v>1783</v>
      </c>
      <c r="J464" s="9">
        <v>745</v>
      </c>
      <c r="K464" s="11"/>
      <c r="L464" s="11" t="s">
        <v>2</v>
      </c>
      <c r="M464" s="8" t="s">
        <v>592</v>
      </c>
      <c r="N464" s="8" t="s">
        <v>592</v>
      </c>
      <c r="O464" s="11" t="s">
        <v>592</v>
      </c>
      <c r="P464" s="22">
        <v>0</v>
      </c>
      <c r="Q464" s="12"/>
      <c r="R464" s="11" t="s">
        <v>237</v>
      </c>
      <c r="S464" s="8">
        <v>3</v>
      </c>
      <c r="T464" s="12"/>
      <c r="U464" s="11" t="s">
        <v>592</v>
      </c>
      <c r="V464" s="11" t="s">
        <v>593</v>
      </c>
      <c r="W464" s="11"/>
      <c r="X464" s="9" t="s">
        <v>1338</v>
      </c>
      <c r="Y464" s="9"/>
      <c r="Z464" s="8" t="s">
        <v>483</v>
      </c>
      <c r="AA464" s="9"/>
      <c r="AB464" s="9" t="s">
        <v>2347</v>
      </c>
      <c r="AC464" s="46" t="s">
        <v>2351</v>
      </c>
    </row>
    <row r="465" spans="1:29" ht="33.75" customHeight="1">
      <c r="A465" s="9">
        <v>40</v>
      </c>
      <c r="B465" s="8" t="s">
        <v>169</v>
      </c>
      <c r="C465" s="9">
        <v>385536</v>
      </c>
      <c r="D465" s="9">
        <v>526992</v>
      </c>
      <c r="E465" s="9" t="s">
        <v>2549</v>
      </c>
      <c r="F465" s="9">
        <v>54.6378381082</v>
      </c>
      <c r="G465" s="9">
        <v>-2.2256076656400001</v>
      </c>
      <c r="H465" s="9" t="s">
        <v>311</v>
      </c>
      <c r="I465" s="8" t="s">
        <v>172</v>
      </c>
      <c r="J465" s="9">
        <v>564</v>
      </c>
      <c r="K465" s="11" t="s">
        <v>172</v>
      </c>
      <c r="L465" s="11" t="s">
        <v>2</v>
      </c>
      <c r="M465" s="8">
        <v>5500</v>
      </c>
      <c r="N465" s="8">
        <v>3000</v>
      </c>
      <c r="O465" s="11">
        <f>M465-N465</f>
        <v>2500</v>
      </c>
      <c r="P465" s="22">
        <v>2</v>
      </c>
      <c r="Q465" s="12">
        <f>P465/O465*1000</f>
        <v>0.8</v>
      </c>
      <c r="R465" s="11" t="s">
        <v>40</v>
      </c>
      <c r="S465" s="8">
        <v>28</v>
      </c>
      <c r="T465" s="12">
        <f>S465/O465*1000</f>
        <v>11.2</v>
      </c>
      <c r="U465" s="11">
        <v>1000</v>
      </c>
      <c r="V465" s="11" t="s">
        <v>593</v>
      </c>
      <c r="W465" s="11" t="s">
        <v>170</v>
      </c>
      <c r="X465" s="9" t="s">
        <v>171</v>
      </c>
      <c r="Y465" s="9" t="s">
        <v>100</v>
      </c>
      <c r="Z465" s="8" t="s">
        <v>173</v>
      </c>
      <c r="AA465" s="9"/>
      <c r="AB465" s="9" t="s">
        <v>2347</v>
      </c>
      <c r="AC465" s="46" t="s">
        <v>2351</v>
      </c>
    </row>
    <row r="466" spans="1:29" ht="33.75" customHeight="1">
      <c r="A466" s="9"/>
      <c r="B466" s="8" t="s">
        <v>1742</v>
      </c>
      <c r="C466" s="9">
        <v>384900</v>
      </c>
      <c r="D466" s="9">
        <v>526700</v>
      </c>
      <c r="E466" s="9" t="s">
        <v>2528</v>
      </c>
      <c r="F466" s="9">
        <v>54.635195239700003</v>
      </c>
      <c r="G466" s="9">
        <v>-2.23544594611</v>
      </c>
      <c r="H466" s="9"/>
      <c r="I466" s="8" t="s">
        <v>172</v>
      </c>
      <c r="J466" s="9">
        <v>562</v>
      </c>
      <c r="K466" s="11"/>
      <c r="L466" s="11" t="s">
        <v>2</v>
      </c>
      <c r="M466" s="8" t="s">
        <v>592</v>
      </c>
      <c r="N466" s="8" t="s">
        <v>592</v>
      </c>
      <c r="O466" s="11" t="s">
        <v>592</v>
      </c>
      <c r="P466" s="22">
        <v>0</v>
      </c>
      <c r="Q466" s="12"/>
      <c r="R466" s="11" t="s">
        <v>237</v>
      </c>
      <c r="S466" s="8">
        <v>7</v>
      </c>
      <c r="T466" s="12"/>
      <c r="U466" s="11" t="s">
        <v>592</v>
      </c>
      <c r="V466" s="11" t="s">
        <v>593</v>
      </c>
      <c r="W466" s="11"/>
      <c r="X466" s="9" t="s">
        <v>1338</v>
      </c>
      <c r="Y466" s="9"/>
      <c r="Z466" s="8" t="s">
        <v>483</v>
      </c>
      <c r="AA466" s="9"/>
      <c r="AB466" s="9" t="s">
        <v>2347</v>
      </c>
      <c r="AC466" s="46" t="s">
        <v>2351</v>
      </c>
    </row>
    <row r="467" spans="1:29" ht="33.75" customHeight="1">
      <c r="A467" s="9"/>
      <c r="B467" s="8" t="s">
        <v>1742</v>
      </c>
      <c r="C467" s="9">
        <v>401000</v>
      </c>
      <c r="D467" s="9">
        <v>532600</v>
      </c>
      <c r="E467" s="9" t="s">
        <v>2550</v>
      </c>
      <c r="F467" s="9">
        <v>54.688445096400002</v>
      </c>
      <c r="G467" s="9">
        <v>-1.98600686229</v>
      </c>
      <c r="H467" s="9" t="s">
        <v>1784</v>
      </c>
      <c r="I467" s="8" t="s">
        <v>1785</v>
      </c>
      <c r="J467" s="9">
        <v>462</v>
      </c>
      <c r="K467" s="11"/>
      <c r="L467" s="11" t="s">
        <v>2</v>
      </c>
      <c r="M467" s="8" t="s">
        <v>592</v>
      </c>
      <c r="N467" s="8" t="s">
        <v>592</v>
      </c>
      <c r="O467" s="11" t="s">
        <v>592</v>
      </c>
      <c r="P467" s="22">
        <v>0</v>
      </c>
      <c r="Q467" s="12"/>
      <c r="R467" s="11" t="s">
        <v>237</v>
      </c>
      <c r="S467" s="8">
        <v>67</v>
      </c>
      <c r="T467" s="12"/>
      <c r="U467" s="11">
        <v>300</v>
      </c>
      <c r="V467" s="11" t="s">
        <v>594</v>
      </c>
      <c r="W467" s="11"/>
      <c r="X467" s="9" t="s">
        <v>1338</v>
      </c>
      <c r="Y467" s="9"/>
      <c r="Z467" s="8" t="s">
        <v>1786</v>
      </c>
      <c r="AA467" s="9"/>
      <c r="AB467" s="9" t="s">
        <v>2347</v>
      </c>
      <c r="AC467" s="46" t="s">
        <v>2351</v>
      </c>
    </row>
    <row r="468" spans="1:29" ht="33.75" customHeight="1">
      <c r="A468" s="9"/>
      <c r="B468" s="8" t="s">
        <v>1742</v>
      </c>
      <c r="C468" s="9">
        <v>401000</v>
      </c>
      <c r="D468" s="9">
        <v>532300</v>
      </c>
      <c r="E468" s="9" t="s">
        <v>2528</v>
      </c>
      <c r="F468" s="9">
        <v>54.685749110400003</v>
      </c>
      <c r="G468" s="9">
        <v>-1.98600777232</v>
      </c>
      <c r="H468" s="9"/>
      <c r="I468" s="8" t="s">
        <v>1787</v>
      </c>
      <c r="J468" s="9">
        <v>469</v>
      </c>
      <c r="K468" s="11"/>
      <c r="L468" s="11" t="s">
        <v>2</v>
      </c>
      <c r="M468" s="8" t="s">
        <v>592</v>
      </c>
      <c r="N468" s="8" t="s">
        <v>592</v>
      </c>
      <c r="O468" s="11" t="s">
        <v>592</v>
      </c>
      <c r="P468" s="22">
        <v>0</v>
      </c>
      <c r="Q468" s="12"/>
      <c r="R468" s="11" t="s">
        <v>237</v>
      </c>
      <c r="S468" s="8">
        <v>6</v>
      </c>
      <c r="T468" s="12"/>
      <c r="U468" s="11" t="s">
        <v>592</v>
      </c>
      <c r="V468" s="11" t="s">
        <v>593</v>
      </c>
      <c r="W468" s="11"/>
      <c r="X468" s="9" t="s">
        <v>1338</v>
      </c>
      <c r="Y468" s="9"/>
      <c r="Z468" s="8" t="s">
        <v>483</v>
      </c>
      <c r="AA468" s="9"/>
      <c r="AB468" s="9" t="s">
        <v>2347</v>
      </c>
      <c r="AC468" s="46" t="s">
        <v>2351</v>
      </c>
    </row>
    <row r="469" spans="1:29" ht="33.75" customHeight="1">
      <c r="A469" s="9"/>
      <c r="B469" s="8" t="s">
        <v>241</v>
      </c>
      <c r="C469" s="9">
        <v>401200</v>
      </c>
      <c r="D469" s="9">
        <v>551600</v>
      </c>
      <c r="E469" s="9" t="s">
        <v>2530</v>
      </c>
      <c r="F469" s="9">
        <v>54.8591880285</v>
      </c>
      <c r="G469" s="9">
        <v>-1.98283337495</v>
      </c>
      <c r="H469" s="9"/>
      <c r="I469" s="8" t="s">
        <v>1788</v>
      </c>
      <c r="J469" s="9">
        <v>228</v>
      </c>
      <c r="K469" s="11"/>
      <c r="L469" s="11" t="s">
        <v>2</v>
      </c>
      <c r="M469" s="8">
        <v>8670</v>
      </c>
      <c r="N469" s="8">
        <v>0.7</v>
      </c>
      <c r="O469" s="11">
        <f>M469-N469</f>
        <v>8669.2999999999993</v>
      </c>
      <c r="P469" s="22">
        <v>7</v>
      </c>
      <c r="Q469" s="12">
        <f>P469/O469*1000</f>
        <v>0.80744696803663507</v>
      </c>
      <c r="R469" s="11" t="s">
        <v>237</v>
      </c>
      <c r="S469" s="8">
        <v>44</v>
      </c>
      <c r="T469" s="12">
        <f>S469/O469*1000</f>
        <v>5.0753809419445632</v>
      </c>
      <c r="U469" s="11" t="s">
        <v>592</v>
      </c>
      <c r="V469" s="11" t="s">
        <v>594</v>
      </c>
      <c r="W469" s="11"/>
      <c r="X469" s="9" t="s">
        <v>1338</v>
      </c>
      <c r="Y469" s="9"/>
      <c r="Z469" s="8" t="s">
        <v>482</v>
      </c>
      <c r="AA469" s="9"/>
      <c r="AB469" s="9" t="s">
        <v>2347</v>
      </c>
      <c r="AC469" s="46" t="s">
        <v>2351</v>
      </c>
    </row>
    <row r="470" spans="1:29" ht="33.75" customHeight="1">
      <c r="A470" s="9">
        <v>65</v>
      </c>
      <c r="B470" s="8" t="s">
        <v>124</v>
      </c>
      <c r="C470" s="9">
        <v>388000</v>
      </c>
      <c r="D470" s="9">
        <v>546400</v>
      </c>
      <c r="E470" s="9" t="s">
        <v>2551</v>
      </c>
      <c r="F470" s="9">
        <v>54.8123135688</v>
      </c>
      <c r="G470" s="9">
        <v>-2.1882407834499999</v>
      </c>
      <c r="H470" s="9" t="s">
        <v>299</v>
      </c>
      <c r="I470" s="8" t="s">
        <v>250</v>
      </c>
      <c r="J470" s="9">
        <v>510</v>
      </c>
      <c r="K470" s="11" t="s">
        <v>43</v>
      </c>
      <c r="L470" s="11" t="s">
        <v>2</v>
      </c>
      <c r="M470" s="8">
        <v>8010</v>
      </c>
      <c r="N470" s="8">
        <v>1470</v>
      </c>
      <c r="O470" s="11">
        <f>M470-N470</f>
        <v>6540</v>
      </c>
      <c r="P470" s="22">
        <v>7</v>
      </c>
      <c r="Q470" s="12">
        <f>P470/O470*1000</f>
        <v>1.070336391437309</v>
      </c>
      <c r="R470" s="11" t="s">
        <v>40</v>
      </c>
      <c r="S470" s="8">
        <v>31</v>
      </c>
      <c r="T470" s="12">
        <f>S470/O470*1000</f>
        <v>4.7400611620795106</v>
      </c>
      <c r="U470" s="11">
        <v>600</v>
      </c>
      <c r="V470" s="11" t="s">
        <v>594</v>
      </c>
      <c r="W470" s="11" t="s">
        <v>251</v>
      </c>
      <c r="X470" s="9" t="s">
        <v>254</v>
      </c>
      <c r="Y470" s="9" t="s">
        <v>100</v>
      </c>
      <c r="Z470" s="8" t="s">
        <v>253</v>
      </c>
      <c r="AA470" s="9"/>
      <c r="AB470" s="9" t="s">
        <v>2347</v>
      </c>
      <c r="AC470" s="46" t="s">
        <v>2351</v>
      </c>
    </row>
    <row r="471" spans="1:29" ht="33.75" customHeight="1">
      <c r="A471" s="9"/>
      <c r="B471" s="8" t="s">
        <v>1742</v>
      </c>
      <c r="C471" s="9">
        <v>387600</v>
      </c>
      <c r="D471" s="9">
        <v>546700</v>
      </c>
      <c r="E471" s="9" t="s">
        <v>2528</v>
      </c>
      <c r="F471" s="9">
        <v>54.8149996581</v>
      </c>
      <c r="G471" s="9">
        <v>-2.19447758461</v>
      </c>
      <c r="H471" s="9"/>
      <c r="I471" s="8" t="s">
        <v>250</v>
      </c>
      <c r="J471" s="9">
        <v>518</v>
      </c>
      <c r="K471" s="11"/>
      <c r="L471" s="11" t="s">
        <v>2</v>
      </c>
      <c r="M471" s="8" t="s">
        <v>592</v>
      </c>
      <c r="N471" s="8" t="s">
        <v>592</v>
      </c>
      <c r="O471" s="11" t="s">
        <v>592</v>
      </c>
      <c r="P471" s="22">
        <v>0</v>
      </c>
      <c r="Q471" s="12"/>
      <c r="R471" s="11" t="s">
        <v>237</v>
      </c>
      <c r="S471" s="8">
        <v>6</v>
      </c>
      <c r="T471" s="12"/>
      <c r="U471" s="11" t="s">
        <v>592</v>
      </c>
      <c r="V471" s="11" t="s">
        <v>593</v>
      </c>
      <c r="W471" s="11"/>
      <c r="X471" s="9" t="s">
        <v>1338</v>
      </c>
      <c r="Y471" s="9"/>
      <c r="Z471" s="8" t="s">
        <v>483</v>
      </c>
      <c r="AA471" s="9"/>
      <c r="AB471" s="9" t="s">
        <v>2347</v>
      </c>
      <c r="AC471" s="46" t="s">
        <v>2351</v>
      </c>
    </row>
    <row r="472" spans="1:29" ht="33.75" customHeight="1">
      <c r="A472" s="9">
        <v>43</v>
      </c>
      <c r="B472" s="8" t="s">
        <v>124</v>
      </c>
      <c r="C472" s="9">
        <v>329500</v>
      </c>
      <c r="D472" s="9">
        <v>571700</v>
      </c>
      <c r="E472" s="9" t="s">
        <v>1989</v>
      </c>
      <c r="F472" s="9">
        <v>55.034798390399999</v>
      </c>
      <c r="G472" s="9">
        <v>-3.1045843740299999</v>
      </c>
      <c r="H472" s="9" t="s">
        <v>2321</v>
      </c>
      <c r="I472" s="8" t="s">
        <v>175</v>
      </c>
      <c r="J472" s="9">
        <v>70</v>
      </c>
      <c r="K472" s="11"/>
      <c r="L472" s="11" t="s">
        <v>183</v>
      </c>
      <c r="M472" s="8">
        <v>650</v>
      </c>
      <c r="N472" s="8">
        <v>625</v>
      </c>
      <c r="O472" s="11">
        <f>M472-N472</f>
        <v>25</v>
      </c>
      <c r="P472" s="22">
        <v>2</v>
      </c>
      <c r="Q472" s="12">
        <f>P472/O472*1000</f>
        <v>80</v>
      </c>
      <c r="R472" s="11" t="s">
        <v>40</v>
      </c>
      <c r="S472" s="8">
        <v>6</v>
      </c>
      <c r="T472" s="12">
        <f>S472/O472*1000</f>
        <v>240</v>
      </c>
      <c r="U472" s="11" t="s">
        <v>592</v>
      </c>
      <c r="V472" s="11" t="s">
        <v>593</v>
      </c>
      <c r="W472" s="11"/>
      <c r="X472" s="9"/>
      <c r="Y472" s="9"/>
      <c r="Z472" s="8" t="s">
        <v>1990</v>
      </c>
      <c r="AA472" s="9"/>
      <c r="AB472" s="9" t="s">
        <v>2347</v>
      </c>
      <c r="AC472" s="46" t="s">
        <v>2351</v>
      </c>
    </row>
    <row r="473" spans="1:29" ht="33.75" customHeight="1">
      <c r="A473" s="9"/>
      <c r="B473" s="8" t="s">
        <v>1759</v>
      </c>
      <c r="C473" s="9">
        <v>399200</v>
      </c>
      <c r="D473" s="9">
        <v>523000</v>
      </c>
      <c r="E473" s="9" t="s">
        <v>2545</v>
      </c>
      <c r="F473" s="9">
        <v>54.602172890600002</v>
      </c>
      <c r="G473" s="9">
        <v>-2.0138989063200001</v>
      </c>
      <c r="H473" s="9" t="s">
        <v>1739</v>
      </c>
      <c r="I473" s="8" t="s">
        <v>667</v>
      </c>
      <c r="J473" s="9">
        <v>200</v>
      </c>
      <c r="K473" s="11"/>
      <c r="L473" s="11" t="s">
        <v>1789</v>
      </c>
      <c r="M473" s="8" t="s">
        <v>592</v>
      </c>
      <c r="N473" s="8" t="s">
        <v>592</v>
      </c>
      <c r="O473" s="11" t="s">
        <v>592</v>
      </c>
      <c r="P473" s="22">
        <v>0</v>
      </c>
      <c r="Q473" s="12"/>
      <c r="R473" s="11" t="s">
        <v>599</v>
      </c>
      <c r="S473" s="8">
        <v>1</v>
      </c>
      <c r="T473" s="12"/>
      <c r="U473" s="11">
        <v>200</v>
      </c>
      <c r="V473" s="11" t="s">
        <v>593</v>
      </c>
      <c r="W473" s="11"/>
      <c r="X473" s="9" t="s">
        <v>1338</v>
      </c>
      <c r="Y473" s="9"/>
      <c r="Z473" s="8" t="s">
        <v>1760</v>
      </c>
      <c r="AA473" s="9"/>
      <c r="AB473" s="9" t="s">
        <v>2347</v>
      </c>
      <c r="AC473" s="46" t="s">
        <v>2351</v>
      </c>
    </row>
    <row r="474" spans="1:29" ht="33.75" customHeight="1">
      <c r="A474" s="9">
        <v>72</v>
      </c>
      <c r="B474" s="8" t="s">
        <v>169</v>
      </c>
      <c r="C474" s="9">
        <v>387800</v>
      </c>
      <c r="D474" s="9">
        <v>544400</v>
      </c>
      <c r="E474" s="9" t="s">
        <v>2552</v>
      </c>
      <c r="F474" s="9">
        <v>54.794335902699999</v>
      </c>
      <c r="G474" s="9">
        <v>-2.19126769358</v>
      </c>
      <c r="H474" s="9" t="s">
        <v>356</v>
      </c>
      <c r="I474" s="8" t="s">
        <v>597</v>
      </c>
      <c r="J474" s="9">
        <v>549</v>
      </c>
      <c r="K474" s="11" t="s">
        <v>341</v>
      </c>
      <c r="L474" s="11" t="s">
        <v>2</v>
      </c>
      <c r="M474" s="8">
        <v>4440</v>
      </c>
      <c r="N474" s="8">
        <v>550</v>
      </c>
      <c r="O474" s="11">
        <f>M474-N474</f>
        <v>3890</v>
      </c>
      <c r="P474" s="22">
        <v>4</v>
      </c>
      <c r="Q474" s="12">
        <f>P474/O474*1000</f>
        <v>1.0282776349614395</v>
      </c>
      <c r="R474" s="11" t="s">
        <v>40</v>
      </c>
      <c r="S474" s="8">
        <v>25</v>
      </c>
      <c r="T474" s="12">
        <f>S474/O474*1000</f>
        <v>6.4267352185089974</v>
      </c>
      <c r="U474" s="11">
        <v>500</v>
      </c>
      <c r="V474" s="11" t="s">
        <v>594</v>
      </c>
      <c r="W474" s="11" t="s">
        <v>344</v>
      </c>
      <c r="X474" s="9" t="s">
        <v>249</v>
      </c>
      <c r="Y474" s="9" t="s">
        <v>43</v>
      </c>
      <c r="Z474" s="8" t="s">
        <v>345</v>
      </c>
      <c r="AA474" s="9"/>
      <c r="AB474" s="9" t="s">
        <v>2347</v>
      </c>
      <c r="AC474" s="46" t="s">
        <v>2351</v>
      </c>
    </row>
    <row r="475" spans="1:29" ht="33.75" customHeight="1">
      <c r="A475" s="9">
        <v>72</v>
      </c>
      <c r="B475" s="8" t="s">
        <v>169</v>
      </c>
      <c r="C475" s="9">
        <v>387700</v>
      </c>
      <c r="D475" s="9">
        <v>545400</v>
      </c>
      <c r="E475" s="9" t="s">
        <v>2552</v>
      </c>
      <c r="F475" s="9">
        <v>54.803319840900002</v>
      </c>
      <c r="G475" s="9">
        <v>-2.1928657989499998</v>
      </c>
      <c r="H475" s="9" t="s">
        <v>357</v>
      </c>
      <c r="I475" s="8" t="s">
        <v>597</v>
      </c>
      <c r="J475" s="9">
        <v>535</v>
      </c>
      <c r="K475" s="11" t="s">
        <v>342</v>
      </c>
      <c r="L475" s="11" t="s">
        <v>2</v>
      </c>
      <c r="M475" s="8">
        <v>845</v>
      </c>
      <c r="N475" s="8">
        <v>230</v>
      </c>
      <c r="O475" s="11">
        <f>M475-N475</f>
        <v>615</v>
      </c>
      <c r="P475" s="22">
        <v>5</v>
      </c>
      <c r="Q475" s="12">
        <f>P475/O475*1000</f>
        <v>8.1300813008130088</v>
      </c>
      <c r="R475" s="11" t="s">
        <v>40</v>
      </c>
      <c r="S475" s="8">
        <v>31</v>
      </c>
      <c r="T475" s="12">
        <f>S475/O475*1000</f>
        <v>50.40650406504065</v>
      </c>
      <c r="U475" s="11">
        <v>500</v>
      </c>
      <c r="V475" s="11" t="s">
        <v>594</v>
      </c>
      <c r="W475" s="11" t="s">
        <v>344</v>
      </c>
      <c r="X475" s="9" t="s">
        <v>249</v>
      </c>
      <c r="Y475" s="9" t="s">
        <v>43</v>
      </c>
      <c r="Z475" s="8" t="s">
        <v>345</v>
      </c>
      <c r="AA475" s="9"/>
      <c r="AB475" s="9" t="s">
        <v>2347</v>
      </c>
      <c r="AC475" s="46" t="s">
        <v>2351</v>
      </c>
    </row>
    <row r="476" spans="1:29" ht="33.75" customHeight="1">
      <c r="A476" s="9"/>
      <c r="B476" s="8" t="s">
        <v>1742</v>
      </c>
      <c r="C476" s="9">
        <v>379400</v>
      </c>
      <c r="D476" s="9">
        <v>536700</v>
      </c>
      <c r="E476" s="9" t="s">
        <v>2528</v>
      </c>
      <c r="F476" s="9">
        <v>54.724864351999997</v>
      </c>
      <c r="G476" s="9">
        <v>-2.3213601874699998</v>
      </c>
      <c r="H476" s="9"/>
      <c r="I476" s="8" t="s">
        <v>1790</v>
      </c>
      <c r="J476" s="9">
        <v>708</v>
      </c>
      <c r="K476" s="11"/>
      <c r="L476" s="11" t="s">
        <v>2</v>
      </c>
      <c r="M476" s="8" t="s">
        <v>592</v>
      </c>
      <c r="N476" s="8" t="s">
        <v>592</v>
      </c>
      <c r="O476" s="11" t="s">
        <v>592</v>
      </c>
      <c r="P476" s="22">
        <v>0</v>
      </c>
      <c r="Q476" s="12"/>
      <c r="R476" s="11" t="s">
        <v>237</v>
      </c>
      <c r="S476" s="8">
        <v>7</v>
      </c>
      <c r="T476" s="12"/>
      <c r="U476" s="11" t="s">
        <v>592</v>
      </c>
      <c r="V476" s="11" t="s">
        <v>593</v>
      </c>
      <c r="W476" s="11"/>
      <c r="X476" s="9" t="s">
        <v>1338</v>
      </c>
      <c r="Y476" s="9"/>
      <c r="Z476" s="8" t="s">
        <v>483</v>
      </c>
      <c r="AA476" s="9"/>
      <c r="AB476" s="9" t="s">
        <v>2347</v>
      </c>
      <c r="AC476" s="46" t="s">
        <v>2351</v>
      </c>
    </row>
    <row r="477" spans="1:29" ht="33.75" customHeight="1">
      <c r="A477" s="9"/>
      <c r="B477" s="8" t="s">
        <v>1742</v>
      </c>
      <c r="C477" s="9">
        <v>379400</v>
      </c>
      <c r="D477" s="9">
        <v>489400</v>
      </c>
      <c r="E477" s="9" t="s">
        <v>2528</v>
      </c>
      <c r="F477" s="9">
        <v>54.299791474999999</v>
      </c>
      <c r="G477" s="9">
        <v>-2.3180382778899999</v>
      </c>
      <c r="H477" s="9"/>
      <c r="I477" s="8" t="s">
        <v>1791</v>
      </c>
      <c r="J477" s="9">
        <v>549</v>
      </c>
      <c r="K477" s="11"/>
      <c r="L477" s="11" t="s">
        <v>2</v>
      </c>
      <c r="M477" s="8" t="s">
        <v>592</v>
      </c>
      <c r="N477" s="8" t="s">
        <v>592</v>
      </c>
      <c r="O477" s="11" t="s">
        <v>592</v>
      </c>
      <c r="P477" s="22">
        <v>0</v>
      </c>
      <c r="Q477" s="12"/>
      <c r="R477" s="11" t="s">
        <v>237</v>
      </c>
      <c r="S477" s="8">
        <v>6</v>
      </c>
      <c r="T477" s="12"/>
      <c r="U477" s="11" t="s">
        <v>592</v>
      </c>
      <c r="V477" s="11" t="s">
        <v>593</v>
      </c>
      <c r="W477" s="11"/>
      <c r="X477" s="9" t="s">
        <v>1338</v>
      </c>
      <c r="Y477" s="9"/>
      <c r="Z477" s="8" t="s">
        <v>483</v>
      </c>
      <c r="AA477" s="9"/>
      <c r="AB477" s="9" t="s">
        <v>2347</v>
      </c>
      <c r="AC477" s="46" t="s">
        <v>2351</v>
      </c>
    </row>
    <row r="478" spans="1:29" ht="33.75" customHeight="1">
      <c r="A478" s="9"/>
      <c r="B478" s="8" t="s">
        <v>1742</v>
      </c>
      <c r="C478" s="9">
        <v>370900</v>
      </c>
      <c r="D478" s="9">
        <v>531000</v>
      </c>
      <c r="E478" s="9" t="s">
        <v>2528</v>
      </c>
      <c r="F478" s="9">
        <v>54.673220455600003</v>
      </c>
      <c r="G478" s="9">
        <v>-2.45275779821</v>
      </c>
      <c r="H478" s="9"/>
      <c r="I478" s="8" t="s">
        <v>1792</v>
      </c>
      <c r="J478" s="9">
        <v>672</v>
      </c>
      <c r="K478" s="11"/>
      <c r="L478" s="11" t="s">
        <v>2</v>
      </c>
      <c r="M478" s="8" t="s">
        <v>592</v>
      </c>
      <c r="N478" s="8" t="s">
        <v>592</v>
      </c>
      <c r="O478" s="11" t="s">
        <v>592</v>
      </c>
      <c r="P478" s="22">
        <v>0</v>
      </c>
      <c r="Q478" s="12"/>
      <c r="R478" s="11" t="s">
        <v>237</v>
      </c>
      <c r="S478" s="8">
        <v>5</v>
      </c>
      <c r="T478" s="12"/>
      <c r="U478" s="11" t="s">
        <v>592</v>
      </c>
      <c r="V478" s="11" t="s">
        <v>593</v>
      </c>
      <c r="W478" s="11"/>
      <c r="X478" s="9" t="s">
        <v>1338</v>
      </c>
      <c r="Y478" s="9"/>
      <c r="Z478" s="8" t="s">
        <v>483</v>
      </c>
      <c r="AA478" s="9"/>
      <c r="AB478" s="9" t="s">
        <v>2347</v>
      </c>
      <c r="AC478" s="46" t="s">
        <v>2351</v>
      </c>
    </row>
    <row r="479" spans="1:29" ht="33.75" customHeight="1">
      <c r="A479" s="9"/>
      <c r="B479" s="8" t="s">
        <v>1742</v>
      </c>
      <c r="C479" s="9">
        <v>385300</v>
      </c>
      <c r="D479" s="9">
        <v>524000</v>
      </c>
      <c r="E479" s="9" t="s">
        <v>2528</v>
      </c>
      <c r="F479" s="9">
        <v>54.610943201799998</v>
      </c>
      <c r="G479" s="9">
        <v>-2.2291126692300001</v>
      </c>
      <c r="H479" s="9"/>
      <c r="I479" s="8" t="s">
        <v>1793</v>
      </c>
      <c r="J479" s="9">
        <v>609</v>
      </c>
      <c r="K479" s="11"/>
      <c r="L479" s="11" t="s">
        <v>2</v>
      </c>
      <c r="M479" s="8" t="s">
        <v>592</v>
      </c>
      <c r="N479" s="8" t="s">
        <v>592</v>
      </c>
      <c r="O479" s="11" t="s">
        <v>592</v>
      </c>
      <c r="P479" s="22">
        <v>0</v>
      </c>
      <c r="Q479" s="12"/>
      <c r="R479" s="11" t="s">
        <v>237</v>
      </c>
      <c r="S479" s="8">
        <v>7</v>
      </c>
      <c r="T479" s="12"/>
      <c r="U479" s="11" t="s">
        <v>592</v>
      </c>
      <c r="V479" s="11" t="s">
        <v>593</v>
      </c>
      <c r="W479" s="11"/>
      <c r="X479" s="9" t="s">
        <v>1338</v>
      </c>
      <c r="Y479" s="9"/>
      <c r="Z479" s="8" t="s">
        <v>483</v>
      </c>
      <c r="AA479" s="9"/>
      <c r="AB479" s="9" t="s">
        <v>2347</v>
      </c>
      <c r="AC479" s="46" t="s">
        <v>2351</v>
      </c>
    </row>
    <row r="480" spans="1:29" ht="33.75" customHeight="1">
      <c r="A480" s="9"/>
      <c r="B480" s="8" t="s">
        <v>124</v>
      </c>
      <c r="C480" s="9">
        <v>396500</v>
      </c>
      <c r="D480" s="9">
        <v>591300</v>
      </c>
      <c r="E480" s="9" t="s">
        <v>2529</v>
      </c>
      <c r="F480" s="9">
        <v>55.215924089399998</v>
      </c>
      <c r="G480" s="9">
        <v>-2.0565511699500001</v>
      </c>
      <c r="H480" s="9" t="s">
        <v>1794</v>
      </c>
      <c r="I480" s="8" t="s">
        <v>528</v>
      </c>
      <c r="J480" s="9">
        <v>305</v>
      </c>
      <c r="K480" s="11"/>
      <c r="L480" s="11" t="s">
        <v>2</v>
      </c>
      <c r="M480" s="8">
        <v>3594</v>
      </c>
      <c r="N480" s="8">
        <v>1085</v>
      </c>
      <c r="O480" s="11">
        <f>M480-N480</f>
        <v>2509</v>
      </c>
      <c r="P480" s="22">
        <v>7</v>
      </c>
      <c r="Q480" s="12">
        <f>P480/O480*1000</f>
        <v>2.7899561578318055</v>
      </c>
      <c r="R480" s="11" t="s">
        <v>237</v>
      </c>
      <c r="S480" s="8">
        <v>58</v>
      </c>
      <c r="T480" s="12">
        <f>S480/O480*1000</f>
        <v>23.116779593463534</v>
      </c>
      <c r="U480" s="11">
        <v>500</v>
      </c>
      <c r="V480" s="11" t="s">
        <v>594</v>
      </c>
      <c r="W480" s="11"/>
      <c r="X480" s="9" t="s">
        <v>1338</v>
      </c>
      <c r="Y480" s="9"/>
      <c r="Z480" s="8" t="s">
        <v>1757</v>
      </c>
      <c r="AA480" s="9"/>
      <c r="AB480" s="9" t="s">
        <v>2347</v>
      </c>
      <c r="AC480" s="46" t="s">
        <v>2351</v>
      </c>
    </row>
    <row r="481" spans="1:29" ht="33.75" customHeight="1">
      <c r="A481" s="9"/>
      <c r="B481" s="8" t="s">
        <v>1742</v>
      </c>
      <c r="C481" s="9">
        <v>395100</v>
      </c>
      <c r="D481" s="9">
        <v>494800</v>
      </c>
      <c r="E481" s="9" t="s">
        <v>2528</v>
      </c>
      <c r="F481" s="9">
        <v>54.348717442999998</v>
      </c>
      <c r="G481" s="9">
        <v>-2.0768862216000001</v>
      </c>
      <c r="H481" s="9"/>
      <c r="I481" s="8" t="s">
        <v>1795</v>
      </c>
      <c r="J481" s="9">
        <v>520</v>
      </c>
      <c r="K481" s="11"/>
      <c r="L481" s="11" t="s">
        <v>2</v>
      </c>
      <c r="M481" s="8" t="s">
        <v>592</v>
      </c>
      <c r="N481" s="8" t="s">
        <v>592</v>
      </c>
      <c r="O481" s="11" t="s">
        <v>592</v>
      </c>
      <c r="P481" s="22">
        <v>0</v>
      </c>
      <c r="Q481" s="12"/>
      <c r="R481" s="11" t="s">
        <v>237</v>
      </c>
      <c r="S481" s="8">
        <v>5</v>
      </c>
      <c r="T481" s="12"/>
      <c r="U481" s="11" t="s">
        <v>592</v>
      </c>
      <c r="V481" s="11" t="s">
        <v>593</v>
      </c>
      <c r="W481" s="11"/>
      <c r="X481" s="9" t="s">
        <v>1338</v>
      </c>
      <c r="Y481" s="9"/>
      <c r="Z481" s="8" t="s">
        <v>483</v>
      </c>
      <c r="AA481" s="9"/>
      <c r="AB481" s="9" t="s">
        <v>2347</v>
      </c>
      <c r="AC481" s="46" t="s">
        <v>2351</v>
      </c>
    </row>
    <row r="482" spans="1:29" ht="33.75" customHeight="1">
      <c r="A482" s="9">
        <v>39</v>
      </c>
      <c r="B482" s="8" t="s">
        <v>167</v>
      </c>
      <c r="C482" s="9">
        <v>376800</v>
      </c>
      <c r="D482" s="9">
        <v>533600</v>
      </c>
      <c r="E482" s="9" t="s">
        <v>2553</v>
      </c>
      <c r="F482" s="9">
        <v>54.696892701099998</v>
      </c>
      <c r="G482" s="9">
        <v>-2.3614793928400002</v>
      </c>
      <c r="H482" s="9" t="s">
        <v>294</v>
      </c>
      <c r="I482" s="8" t="s">
        <v>166</v>
      </c>
      <c r="J482" s="9">
        <v>459</v>
      </c>
      <c r="K482" s="11" t="s">
        <v>43</v>
      </c>
      <c r="L482" s="11" t="s">
        <v>2</v>
      </c>
      <c r="M482" s="8">
        <v>6779</v>
      </c>
      <c r="N482" s="8">
        <v>2212</v>
      </c>
      <c r="O482" s="11">
        <f>M482-N482</f>
        <v>4567</v>
      </c>
      <c r="P482" s="22">
        <v>8</v>
      </c>
      <c r="Q482" s="12">
        <f>P482/O482*1000</f>
        <v>1.7516969564265383</v>
      </c>
      <c r="R482" s="11" t="s">
        <v>40</v>
      </c>
      <c r="S482" s="8">
        <v>40</v>
      </c>
      <c r="T482" s="12">
        <f>S482/O482*1000</f>
        <v>8.7584847821326903</v>
      </c>
      <c r="U482" s="11">
        <v>500</v>
      </c>
      <c r="V482" s="11" t="s">
        <v>594</v>
      </c>
      <c r="W482" s="11" t="s">
        <v>247</v>
      </c>
      <c r="X482" s="9" t="s">
        <v>249</v>
      </c>
      <c r="Y482" s="9" t="s">
        <v>43</v>
      </c>
      <c r="Z482" s="8" t="s">
        <v>248</v>
      </c>
      <c r="AA482" s="9"/>
      <c r="AB482" s="9" t="s">
        <v>2347</v>
      </c>
      <c r="AC482" s="46" t="s">
        <v>2351</v>
      </c>
    </row>
    <row r="483" spans="1:29" ht="33.75" customHeight="1">
      <c r="A483" s="9">
        <v>72</v>
      </c>
      <c r="B483" s="8" t="s">
        <v>169</v>
      </c>
      <c r="C483" s="9">
        <v>376800</v>
      </c>
      <c r="D483" s="9">
        <v>533600</v>
      </c>
      <c r="E483" s="9" t="s">
        <v>2552</v>
      </c>
      <c r="F483" s="9">
        <v>54.696892701099998</v>
      </c>
      <c r="G483" s="9">
        <v>-2.3614793928400002</v>
      </c>
      <c r="H483" s="9" t="s">
        <v>294</v>
      </c>
      <c r="I483" s="8" t="s">
        <v>166</v>
      </c>
      <c r="J483" s="9">
        <v>549</v>
      </c>
      <c r="K483" s="11" t="s">
        <v>343</v>
      </c>
      <c r="L483" s="11" t="s">
        <v>2</v>
      </c>
      <c r="M483" s="8">
        <v>1675</v>
      </c>
      <c r="N483" s="8">
        <v>0</v>
      </c>
      <c r="O483" s="11">
        <f>M483-N483</f>
        <v>1675</v>
      </c>
      <c r="P483" s="22">
        <v>4</v>
      </c>
      <c r="Q483" s="12">
        <f>P483/O483*1000</f>
        <v>2.3880597014925375</v>
      </c>
      <c r="R483" s="11" t="s">
        <v>40</v>
      </c>
      <c r="S483" s="8">
        <v>24</v>
      </c>
      <c r="T483" s="12">
        <f>S483/O483*1000</f>
        <v>14.328358208955224</v>
      </c>
      <c r="U483" s="11">
        <v>500</v>
      </c>
      <c r="V483" s="11" t="s">
        <v>594</v>
      </c>
      <c r="W483" s="11" t="s">
        <v>344</v>
      </c>
      <c r="X483" s="9" t="s">
        <v>249</v>
      </c>
      <c r="Y483" s="9" t="s">
        <v>43</v>
      </c>
      <c r="Z483" s="8" t="s">
        <v>345</v>
      </c>
      <c r="AA483" s="9"/>
      <c r="AB483" s="9" t="s">
        <v>2347</v>
      </c>
      <c r="AC483" s="46" t="s">
        <v>2351</v>
      </c>
    </row>
    <row r="484" spans="1:29" ht="33.75" customHeight="1">
      <c r="A484" s="9"/>
      <c r="B484" s="8" t="s">
        <v>1742</v>
      </c>
      <c r="C484" s="9">
        <v>389300</v>
      </c>
      <c r="D484" s="9">
        <v>495100</v>
      </c>
      <c r="E484" s="9" t="s">
        <v>2528</v>
      </c>
      <c r="F484" s="9">
        <v>54.351323556799997</v>
      </c>
      <c r="G484" s="9">
        <v>-2.1661242714100002</v>
      </c>
      <c r="H484" s="9"/>
      <c r="I484" s="8" t="s">
        <v>1796</v>
      </c>
      <c r="J484" s="9">
        <v>590</v>
      </c>
      <c r="K484" s="11"/>
      <c r="L484" s="11" t="s">
        <v>2</v>
      </c>
      <c r="M484" s="8" t="s">
        <v>592</v>
      </c>
      <c r="N484" s="8" t="s">
        <v>592</v>
      </c>
      <c r="O484" s="11" t="s">
        <v>592</v>
      </c>
      <c r="P484" s="22">
        <v>0</v>
      </c>
      <c r="Q484" s="12"/>
      <c r="R484" s="11" t="s">
        <v>237</v>
      </c>
      <c r="S484" s="8">
        <v>5</v>
      </c>
      <c r="T484" s="12"/>
      <c r="U484" s="11" t="s">
        <v>592</v>
      </c>
      <c r="V484" s="11" t="s">
        <v>593</v>
      </c>
      <c r="W484" s="11"/>
      <c r="X484" s="9" t="s">
        <v>1338</v>
      </c>
      <c r="Y484" s="9"/>
      <c r="Z484" s="8" t="s">
        <v>483</v>
      </c>
      <c r="AA484" s="9"/>
      <c r="AB484" s="9" t="s">
        <v>2347</v>
      </c>
      <c r="AC484" s="46" t="s">
        <v>2351</v>
      </c>
    </row>
    <row r="485" spans="1:29" ht="33.75" customHeight="1">
      <c r="A485" s="9"/>
      <c r="B485" s="8" t="s">
        <v>1742</v>
      </c>
      <c r="C485" s="9">
        <v>365200</v>
      </c>
      <c r="D485" s="9">
        <v>545400</v>
      </c>
      <c r="E485" s="9" t="s">
        <v>2528</v>
      </c>
      <c r="F485" s="9">
        <v>54.802258243799997</v>
      </c>
      <c r="G485" s="9">
        <v>-2.5428691239300001</v>
      </c>
      <c r="H485" s="9"/>
      <c r="I485" s="8" t="s">
        <v>1797</v>
      </c>
      <c r="J485" s="9">
        <v>625</v>
      </c>
      <c r="K485" s="11"/>
      <c r="L485" s="11" t="s">
        <v>2</v>
      </c>
      <c r="M485" s="8" t="s">
        <v>592</v>
      </c>
      <c r="N485" s="8" t="s">
        <v>592</v>
      </c>
      <c r="O485" s="11" t="s">
        <v>592</v>
      </c>
      <c r="P485" s="22">
        <v>0</v>
      </c>
      <c r="Q485" s="12"/>
      <c r="R485" s="11" t="s">
        <v>237</v>
      </c>
      <c r="S485" s="8">
        <v>7</v>
      </c>
      <c r="T485" s="12"/>
      <c r="U485" s="11" t="s">
        <v>592</v>
      </c>
      <c r="V485" s="11" t="s">
        <v>593</v>
      </c>
      <c r="W485" s="11"/>
      <c r="X485" s="9" t="s">
        <v>1338</v>
      </c>
      <c r="Y485" s="9"/>
      <c r="Z485" s="8" t="s">
        <v>483</v>
      </c>
      <c r="AA485" s="9"/>
      <c r="AB485" s="9" t="s">
        <v>2347</v>
      </c>
      <c r="AC485" s="46" t="s">
        <v>2351</v>
      </c>
    </row>
    <row r="486" spans="1:29" ht="33.75" customHeight="1">
      <c r="A486" s="9"/>
      <c r="B486" s="8" t="s">
        <v>1742</v>
      </c>
      <c r="C486" s="9">
        <v>432400</v>
      </c>
      <c r="D486" s="9">
        <v>530400</v>
      </c>
      <c r="E486" s="9" t="s">
        <v>2554</v>
      </c>
      <c r="F486" s="9">
        <v>54.6676413299</v>
      </c>
      <c r="G486" s="9">
        <v>-1.4991758851999999</v>
      </c>
      <c r="H486" s="9"/>
      <c r="I486" s="8" t="s">
        <v>235</v>
      </c>
      <c r="J486" s="9">
        <v>76</v>
      </c>
      <c r="K486" s="11"/>
      <c r="L486" s="11" t="s">
        <v>2</v>
      </c>
      <c r="M486" s="8">
        <v>6760</v>
      </c>
      <c r="N486" s="8">
        <v>3360</v>
      </c>
      <c r="O486" s="11">
        <f>M486-N486</f>
        <v>3400</v>
      </c>
      <c r="P486" s="22">
        <v>4</v>
      </c>
      <c r="Q486" s="12">
        <f>P486/O486*1000</f>
        <v>1.1764705882352939</v>
      </c>
      <c r="R486" s="11" t="s">
        <v>237</v>
      </c>
      <c r="S486" s="8">
        <v>60</v>
      </c>
      <c r="T486" s="12">
        <f>S486/O486*1000</f>
        <v>17.647058823529413</v>
      </c>
      <c r="U486" s="11"/>
      <c r="V486" s="11" t="s">
        <v>594</v>
      </c>
      <c r="W486" s="11"/>
      <c r="X486" s="9" t="s">
        <v>1338</v>
      </c>
      <c r="Y486" s="9"/>
      <c r="Z486" s="8" t="s">
        <v>481</v>
      </c>
      <c r="AA486" s="9"/>
      <c r="AB486" s="9" t="s">
        <v>2347</v>
      </c>
      <c r="AC486" s="46" t="s">
        <v>2351</v>
      </c>
    </row>
    <row r="487" spans="1:29" ht="33.75" customHeight="1">
      <c r="A487" s="9"/>
      <c r="B487" s="8" t="s">
        <v>1742</v>
      </c>
      <c r="C487" s="9">
        <v>423200</v>
      </c>
      <c r="D487" s="9">
        <v>554500</v>
      </c>
      <c r="E487" s="9" t="s">
        <v>2554</v>
      </c>
      <c r="F487" s="9">
        <v>54.884716723899999</v>
      </c>
      <c r="G487" s="9">
        <v>-1.6398955366700001</v>
      </c>
      <c r="H487" s="9"/>
      <c r="I487" s="8" t="s">
        <v>2354</v>
      </c>
      <c r="J487" s="9">
        <v>90</v>
      </c>
      <c r="K487" s="11"/>
      <c r="L487" s="11" t="s">
        <v>2</v>
      </c>
      <c r="M487" s="8" t="s">
        <v>592</v>
      </c>
      <c r="N487" s="8" t="s">
        <v>592</v>
      </c>
      <c r="O487" s="11">
        <v>0</v>
      </c>
      <c r="P487" s="22">
        <v>0</v>
      </c>
      <c r="Q487" s="12"/>
      <c r="R487" s="11" t="s">
        <v>237</v>
      </c>
      <c r="S487" s="8">
        <v>37</v>
      </c>
      <c r="T487" s="12"/>
      <c r="U487" s="11" t="s">
        <v>592</v>
      </c>
      <c r="V487" s="11" t="s">
        <v>594</v>
      </c>
      <c r="W487" s="11"/>
      <c r="X487" s="9" t="s">
        <v>1338</v>
      </c>
      <c r="Y487" s="9"/>
      <c r="Z487" s="8" t="s">
        <v>481</v>
      </c>
      <c r="AA487" s="9"/>
      <c r="AB487" s="9" t="s">
        <v>2347</v>
      </c>
      <c r="AC487" s="46" t="s">
        <v>2351</v>
      </c>
    </row>
    <row r="488" spans="1:29" ht="33.75" customHeight="1">
      <c r="A488" s="9"/>
      <c r="B488" s="8" t="s">
        <v>1742</v>
      </c>
      <c r="C488" s="9">
        <v>441000</v>
      </c>
      <c r="D488" s="9">
        <v>535000</v>
      </c>
      <c r="E488" s="9" t="s">
        <v>2554</v>
      </c>
      <c r="F488" s="9">
        <v>54.708353063899999</v>
      </c>
      <c r="G488" s="9">
        <v>-1.3652017142499999</v>
      </c>
      <c r="H488" s="9"/>
      <c r="I488" s="8" t="s">
        <v>236</v>
      </c>
      <c r="J488" s="9">
        <v>137</v>
      </c>
      <c r="K488" s="11"/>
      <c r="L488" s="11" t="s">
        <v>2</v>
      </c>
      <c r="M488" s="8">
        <v>3544</v>
      </c>
      <c r="N488" s="8">
        <v>1842</v>
      </c>
      <c r="O488" s="11">
        <f>M488-N488</f>
        <v>1702</v>
      </c>
      <c r="P488" s="22">
        <v>4</v>
      </c>
      <c r="Q488" s="12">
        <f>P488/O488*1000</f>
        <v>2.3501762632197414</v>
      </c>
      <c r="R488" s="11" t="s">
        <v>599</v>
      </c>
      <c r="S488" s="8">
        <v>24</v>
      </c>
      <c r="T488" s="12">
        <f>S488/O488*1000</f>
        <v>14.10105757931845</v>
      </c>
      <c r="U488" s="11" t="s">
        <v>592</v>
      </c>
      <c r="V488" s="11" t="s">
        <v>593</v>
      </c>
      <c r="W488" s="11"/>
      <c r="X488" s="9" t="s">
        <v>1338</v>
      </c>
      <c r="Y488" s="9"/>
      <c r="Z488" s="8" t="s">
        <v>481</v>
      </c>
      <c r="AA488" s="9"/>
      <c r="AB488" s="9" t="s">
        <v>2347</v>
      </c>
      <c r="AC488" s="46" t="s">
        <v>2351</v>
      </c>
    </row>
    <row r="489" spans="1:29" ht="33.75" customHeight="1">
      <c r="A489" s="9"/>
      <c r="B489" s="8" t="s">
        <v>1742</v>
      </c>
      <c r="C489" s="9">
        <v>432100</v>
      </c>
      <c r="D489" s="9">
        <v>525300</v>
      </c>
      <c r="E489" s="9" t="s">
        <v>2554</v>
      </c>
      <c r="F489" s="9">
        <v>54.621830084999999</v>
      </c>
      <c r="G489" s="9">
        <v>-1.5043845488900001</v>
      </c>
      <c r="H489" s="9"/>
      <c r="I489" s="8" t="s">
        <v>2355</v>
      </c>
      <c r="J489" s="9">
        <v>76</v>
      </c>
      <c r="K489" s="11"/>
      <c r="L489" s="11" t="s">
        <v>2</v>
      </c>
      <c r="M489" s="8">
        <v>8689</v>
      </c>
      <c r="N489" s="8">
        <v>4543</v>
      </c>
      <c r="O489" s="11">
        <f>M489-N489</f>
        <v>4146</v>
      </c>
      <c r="P489" s="22">
        <v>6</v>
      </c>
      <c r="Q489" s="12">
        <f>P489/O489*1000</f>
        <v>1.4471780028943559</v>
      </c>
      <c r="R489" s="11" t="s">
        <v>237</v>
      </c>
      <c r="S489" s="8">
        <v>56</v>
      </c>
      <c r="T489" s="12">
        <f>S489/O489*1000</f>
        <v>13.506994693680657</v>
      </c>
      <c r="U489" s="11" t="s">
        <v>592</v>
      </c>
      <c r="V489" s="11" t="s">
        <v>594</v>
      </c>
      <c r="W489" s="11"/>
      <c r="X489" s="9" t="s">
        <v>1338</v>
      </c>
      <c r="Y489" s="9"/>
      <c r="Z489" s="8" t="s">
        <v>481</v>
      </c>
      <c r="AA489" s="9"/>
      <c r="AB489" s="9" t="s">
        <v>2347</v>
      </c>
      <c r="AC489" s="46" t="s">
        <v>2351</v>
      </c>
    </row>
    <row r="490" spans="1:29" ht="33.75" customHeight="1">
      <c r="A490" s="9"/>
      <c r="B490" s="8" t="s">
        <v>1742</v>
      </c>
      <c r="C490" s="9">
        <v>433400</v>
      </c>
      <c r="D490" s="9">
        <v>511200</v>
      </c>
      <c r="E490" s="9" t="s">
        <v>2554</v>
      </c>
      <c r="F490" s="9">
        <v>54.495037116600002</v>
      </c>
      <c r="G490" s="9">
        <v>-1.4858479814100001</v>
      </c>
      <c r="H490" s="9"/>
      <c r="I490" s="8" t="s">
        <v>2356</v>
      </c>
      <c r="J490" s="9">
        <v>52</v>
      </c>
      <c r="K490" s="11"/>
      <c r="L490" s="11" t="s">
        <v>2</v>
      </c>
      <c r="M490" s="8" t="s">
        <v>592</v>
      </c>
      <c r="N490" s="8" t="s">
        <v>592</v>
      </c>
      <c r="O490" s="11" t="s">
        <v>592</v>
      </c>
      <c r="P490" s="22">
        <v>0</v>
      </c>
      <c r="Q490" s="12"/>
      <c r="R490" s="11" t="s">
        <v>599</v>
      </c>
      <c r="S490" s="8">
        <v>25</v>
      </c>
      <c r="T490" s="12"/>
      <c r="U490" s="11" t="s">
        <v>592</v>
      </c>
      <c r="V490" s="11" t="s">
        <v>593</v>
      </c>
      <c r="W490" s="11"/>
      <c r="X490" s="9" t="s">
        <v>1338</v>
      </c>
      <c r="Y490" s="9"/>
      <c r="Z490" s="8" t="s">
        <v>481</v>
      </c>
      <c r="AA490" s="9"/>
      <c r="AB490" s="9" t="s">
        <v>2347</v>
      </c>
      <c r="AC490" s="46" t="s">
        <v>2351</v>
      </c>
    </row>
    <row r="491" spans="1:29" ht="33.75" customHeight="1">
      <c r="A491" s="9"/>
      <c r="B491" s="8" t="s">
        <v>1742</v>
      </c>
      <c r="C491" s="9">
        <v>433200</v>
      </c>
      <c r="D491" s="9">
        <v>516600</v>
      </c>
      <c r="E491" s="9" t="s">
        <v>2554</v>
      </c>
      <c r="F491" s="9">
        <v>54.495037116600002</v>
      </c>
      <c r="G491" s="9">
        <v>-1.489722</v>
      </c>
      <c r="H491" s="9"/>
      <c r="I491" s="8" t="s">
        <v>234</v>
      </c>
      <c r="J491" s="9">
        <v>38</v>
      </c>
      <c r="K491" s="11"/>
      <c r="L491" s="11" t="s">
        <v>2</v>
      </c>
      <c r="M491" s="8">
        <v>9082</v>
      </c>
      <c r="N491" s="8">
        <v>1213</v>
      </c>
      <c r="O491" s="11">
        <f>M491-N491</f>
        <v>7869</v>
      </c>
      <c r="P491" s="22">
        <v>11</v>
      </c>
      <c r="Q491" s="12">
        <f>P491/O491*1000</f>
        <v>1.3978904562206125</v>
      </c>
      <c r="R491" s="11" t="s">
        <v>40</v>
      </c>
      <c r="S491" s="8">
        <v>55</v>
      </c>
      <c r="T491" s="12">
        <f>S491/O491*1000</f>
        <v>6.9894522811030626</v>
      </c>
      <c r="U491" s="11" t="s">
        <v>592</v>
      </c>
      <c r="V491" s="11" t="s">
        <v>594</v>
      </c>
      <c r="W491" s="11"/>
      <c r="X491" s="9" t="s">
        <v>1338</v>
      </c>
      <c r="Y491" s="9"/>
      <c r="Z491" s="8" t="s">
        <v>481</v>
      </c>
      <c r="AA491" s="9"/>
      <c r="AB491" s="9" t="s">
        <v>2347</v>
      </c>
      <c r="AC491" s="46" t="s">
        <v>2351</v>
      </c>
    </row>
    <row r="492" spans="1:29" ht="33.75" customHeight="1">
      <c r="A492" s="9"/>
      <c r="B492" s="8" t="s">
        <v>1742</v>
      </c>
      <c r="C492" s="9">
        <v>432000</v>
      </c>
      <c r="D492" s="9">
        <v>529500</v>
      </c>
      <c r="E492" s="9" t="s">
        <v>2554</v>
      </c>
      <c r="F492" s="9">
        <v>54.659579102400002</v>
      </c>
      <c r="G492" s="9">
        <v>-1.5054755800299999</v>
      </c>
      <c r="H492" s="9"/>
      <c r="I492" s="8" t="s">
        <v>2357</v>
      </c>
      <c r="J492" s="9">
        <v>76</v>
      </c>
      <c r="K492" s="11"/>
      <c r="L492" s="11" t="s">
        <v>2</v>
      </c>
      <c r="M492" s="8" t="s">
        <v>592</v>
      </c>
      <c r="N492" s="8" t="s">
        <v>592</v>
      </c>
      <c r="O492" s="11" t="s">
        <v>592</v>
      </c>
      <c r="P492" s="22">
        <v>0</v>
      </c>
      <c r="Q492" s="12"/>
      <c r="R492" s="11" t="s">
        <v>599</v>
      </c>
      <c r="S492" s="8">
        <v>26</v>
      </c>
      <c r="T492" s="12"/>
      <c r="U492" s="11" t="s">
        <v>592</v>
      </c>
      <c r="V492" s="11" t="s">
        <v>594</v>
      </c>
      <c r="W492" s="11"/>
      <c r="X492" s="9" t="s">
        <v>1338</v>
      </c>
      <c r="Y492" s="9"/>
      <c r="Z492" s="8" t="s">
        <v>481</v>
      </c>
      <c r="AA492" s="9"/>
      <c r="AB492" s="9" t="s">
        <v>2347</v>
      </c>
      <c r="AC492" s="46" t="s">
        <v>2351</v>
      </c>
    </row>
    <row r="493" spans="1:29" ht="33.75" customHeight="1">
      <c r="A493" s="9"/>
      <c r="B493" s="8" t="s">
        <v>1742</v>
      </c>
      <c r="C493" s="9">
        <v>445800</v>
      </c>
      <c r="D493" s="9">
        <v>535400</v>
      </c>
      <c r="E493" s="9" t="s">
        <v>2554</v>
      </c>
      <c r="F493" s="9">
        <v>54.711534624800002</v>
      </c>
      <c r="G493" s="9">
        <v>-1.29064921256</v>
      </c>
      <c r="H493" s="9"/>
      <c r="I493" s="8" t="s">
        <v>238</v>
      </c>
      <c r="J493" s="9">
        <v>80</v>
      </c>
      <c r="K493" s="11"/>
      <c r="L493" s="11" t="s">
        <v>2</v>
      </c>
      <c r="M493" s="8">
        <v>2064</v>
      </c>
      <c r="N493" s="8">
        <v>852</v>
      </c>
      <c r="O493" s="11">
        <f>M493-N493</f>
        <v>1212</v>
      </c>
      <c r="P493" s="22">
        <v>2</v>
      </c>
      <c r="Q493" s="12">
        <f>P493/O493*1000</f>
        <v>1.6501650165016502</v>
      </c>
      <c r="R493" s="11" t="s">
        <v>237</v>
      </c>
      <c r="S493" s="8">
        <v>8</v>
      </c>
      <c r="T493" s="12">
        <f>S493/O493*1000</f>
        <v>6.6006600660066006</v>
      </c>
      <c r="U493" s="11" t="s">
        <v>592</v>
      </c>
      <c r="V493" s="11" t="s">
        <v>594</v>
      </c>
      <c r="W493" s="11"/>
      <c r="X493" s="9" t="s">
        <v>1338</v>
      </c>
      <c r="Y493" s="9"/>
      <c r="Z493" s="8" t="s">
        <v>481</v>
      </c>
      <c r="AA493" s="9"/>
      <c r="AB493" s="9" t="s">
        <v>2347</v>
      </c>
      <c r="AC493" s="46" t="s">
        <v>2351</v>
      </c>
    </row>
    <row r="494" spans="1:29" ht="33.75" customHeight="1">
      <c r="A494" s="9"/>
      <c r="B494" s="8" t="s">
        <v>1742</v>
      </c>
      <c r="C494" s="9">
        <v>370600</v>
      </c>
      <c r="D494" s="9">
        <v>535400</v>
      </c>
      <c r="E494" s="9" t="s">
        <v>2554</v>
      </c>
      <c r="F494" s="9">
        <v>54.712742803099999</v>
      </c>
      <c r="G494" s="9">
        <v>-2.4578547688499999</v>
      </c>
      <c r="H494" s="9"/>
      <c r="I494" s="8" t="s">
        <v>2359</v>
      </c>
      <c r="J494" s="9">
        <v>716</v>
      </c>
      <c r="K494" s="11"/>
      <c r="L494" s="11" t="s">
        <v>2</v>
      </c>
      <c r="M494" s="8" t="s">
        <v>592</v>
      </c>
      <c r="N494" s="8" t="s">
        <v>592</v>
      </c>
      <c r="O494" s="11" t="s">
        <v>592</v>
      </c>
      <c r="P494" s="22">
        <v>0</v>
      </c>
      <c r="Q494" s="12"/>
      <c r="R494" s="11" t="s">
        <v>237</v>
      </c>
      <c r="S494" s="8">
        <v>8</v>
      </c>
      <c r="T494" s="12"/>
      <c r="U494" s="11">
        <v>573.07500000000005</v>
      </c>
      <c r="V494" s="11" t="s">
        <v>594</v>
      </c>
      <c r="W494" s="11"/>
      <c r="X494" s="9" t="s">
        <v>1338</v>
      </c>
      <c r="Y494" s="9"/>
      <c r="Z494" s="8" t="s">
        <v>481</v>
      </c>
      <c r="AA494" s="9"/>
      <c r="AB494" s="9" t="s">
        <v>2347</v>
      </c>
      <c r="AC494" s="46" t="s">
        <v>2351</v>
      </c>
    </row>
    <row r="495" spans="1:29" ht="33.75" customHeight="1">
      <c r="A495" s="9"/>
      <c r="B495" s="8" t="s">
        <v>1742</v>
      </c>
      <c r="C495" s="9">
        <v>381000</v>
      </c>
      <c r="D495" s="9">
        <v>529600</v>
      </c>
      <c r="E495" s="9" t="s">
        <v>2554</v>
      </c>
      <c r="F495" s="9">
        <v>54.661123611699999</v>
      </c>
      <c r="G495" s="9">
        <v>-2.2960534325299999</v>
      </c>
      <c r="H495" s="9"/>
      <c r="I495" s="8" t="s">
        <v>2360</v>
      </c>
      <c r="J495" s="9">
        <v>466</v>
      </c>
      <c r="K495" s="11"/>
      <c r="L495" s="11" t="s">
        <v>2</v>
      </c>
      <c r="M495" s="8" t="s">
        <v>592</v>
      </c>
      <c r="N495" s="8" t="s">
        <v>592</v>
      </c>
      <c r="O495" s="11" t="s">
        <v>592</v>
      </c>
      <c r="P495" s="22">
        <v>0</v>
      </c>
      <c r="Q495" s="12"/>
      <c r="R495" s="11" t="s">
        <v>237</v>
      </c>
      <c r="S495" s="8">
        <v>47</v>
      </c>
      <c r="T495" s="12"/>
      <c r="U495" s="11" t="s">
        <v>592</v>
      </c>
      <c r="V495" s="11" t="s">
        <v>594</v>
      </c>
      <c r="W495" s="11"/>
      <c r="X495" s="9" t="s">
        <v>1338</v>
      </c>
      <c r="Y495" s="9"/>
      <c r="Z495" s="8" t="s">
        <v>481</v>
      </c>
      <c r="AA495" s="9"/>
      <c r="AB495" s="9" t="s">
        <v>2347</v>
      </c>
      <c r="AC495" s="46" t="s">
        <v>2351</v>
      </c>
    </row>
    <row r="496" spans="1:29" ht="33.75" customHeight="1">
      <c r="A496" s="9"/>
      <c r="B496" s="8" t="s">
        <v>1742</v>
      </c>
      <c r="C496" s="9">
        <v>381800</v>
      </c>
      <c r="D496" s="9">
        <v>528900</v>
      </c>
      <c r="E496" s="9" t="s">
        <v>2554</v>
      </c>
      <c r="F496" s="9">
        <v>54.654862719500002</v>
      </c>
      <c r="G496" s="9">
        <v>-2.2836082558899999</v>
      </c>
      <c r="H496" s="9"/>
      <c r="I496" s="8" t="s">
        <v>2358</v>
      </c>
      <c r="J496" s="9">
        <v>500</v>
      </c>
      <c r="K496" s="11"/>
      <c r="L496" s="11" t="s">
        <v>2</v>
      </c>
      <c r="M496" s="8" t="s">
        <v>592</v>
      </c>
      <c r="N496" s="8" t="s">
        <v>592</v>
      </c>
      <c r="O496" s="11" t="s">
        <v>592</v>
      </c>
      <c r="P496" s="22">
        <v>0</v>
      </c>
      <c r="Q496" s="12"/>
      <c r="R496" s="11" t="s">
        <v>237</v>
      </c>
      <c r="S496" s="8">
        <v>15</v>
      </c>
      <c r="T496" s="12"/>
      <c r="U496" s="11" t="s">
        <v>592</v>
      </c>
      <c r="V496" s="11" t="s">
        <v>594</v>
      </c>
      <c r="W496" s="11"/>
      <c r="X496" s="9" t="s">
        <v>1338</v>
      </c>
      <c r="Y496" s="9"/>
      <c r="Z496" s="8" t="s">
        <v>481</v>
      </c>
      <c r="AA496" s="9"/>
      <c r="AB496" s="9" t="s">
        <v>2347</v>
      </c>
      <c r="AC496" s="46" t="s">
        <v>2351</v>
      </c>
    </row>
    <row r="497" spans="1:29" ht="33.75" customHeight="1">
      <c r="A497" s="9"/>
      <c r="B497" s="8" t="s">
        <v>1742</v>
      </c>
      <c r="C497" s="9">
        <v>381800</v>
      </c>
      <c r="D497" s="9">
        <v>529000</v>
      </c>
      <c r="E497" s="9" t="s">
        <v>2554</v>
      </c>
      <c r="F497" s="9">
        <v>54.655761375200001</v>
      </c>
      <c r="G497" s="9">
        <v>-2.28361451977</v>
      </c>
      <c r="H497" s="9"/>
      <c r="I497" s="8" t="s">
        <v>2361</v>
      </c>
      <c r="J497" s="9">
        <v>500</v>
      </c>
      <c r="K497" s="11"/>
      <c r="L497" s="11" t="s">
        <v>2</v>
      </c>
      <c r="M497" s="8" t="s">
        <v>592</v>
      </c>
      <c r="N497" s="8" t="s">
        <v>592</v>
      </c>
      <c r="O497" s="11" t="s">
        <v>592</v>
      </c>
      <c r="P497" s="22">
        <v>0</v>
      </c>
      <c r="Q497" s="12"/>
      <c r="R497" s="11" t="s">
        <v>237</v>
      </c>
      <c r="S497" s="8">
        <v>29</v>
      </c>
      <c r="T497" s="12"/>
      <c r="U497" s="11" t="s">
        <v>592</v>
      </c>
      <c r="V497" s="11" t="s">
        <v>594</v>
      </c>
      <c r="W497" s="11"/>
      <c r="X497" s="9" t="s">
        <v>1338</v>
      </c>
      <c r="Y497" s="9"/>
      <c r="Z497" s="8" t="s">
        <v>481</v>
      </c>
      <c r="AA497" s="9"/>
      <c r="AB497" s="9" t="s">
        <v>2347</v>
      </c>
      <c r="AC497" s="46" t="s">
        <v>2351</v>
      </c>
    </row>
    <row r="498" spans="1:29" ht="33.75" customHeight="1">
      <c r="A498" s="9"/>
      <c r="B498" s="8" t="s">
        <v>1742</v>
      </c>
      <c r="C498" s="9">
        <v>381900</v>
      </c>
      <c r="D498" s="9">
        <v>528800</v>
      </c>
      <c r="E498" s="9" t="s">
        <v>2554</v>
      </c>
      <c r="F498" s="9">
        <v>54.653967685300003</v>
      </c>
      <c r="G498" s="9">
        <v>-2.28205209913</v>
      </c>
      <c r="H498" s="9"/>
      <c r="I498" s="8" t="s">
        <v>2362</v>
      </c>
      <c r="J498" s="9">
        <v>500</v>
      </c>
      <c r="K498" s="11"/>
      <c r="L498" s="11" t="s">
        <v>2</v>
      </c>
      <c r="M498" s="8">
        <v>9900</v>
      </c>
      <c r="N498" s="8">
        <v>2570</v>
      </c>
      <c r="O498" s="11">
        <f>M498-N498</f>
        <v>7330</v>
      </c>
      <c r="P498" s="22">
        <v>5</v>
      </c>
      <c r="Q498" s="12">
        <f>P498/O498*1000</f>
        <v>0.68212824010914053</v>
      </c>
      <c r="R498" s="11" t="s">
        <v>237</v>
      </c>
      <c r="S498" s="8">
        <v>31</v>
      </c>
      <c r="T498" s="12">
        <f>S498/O498*1000</f>
        <v>4.2291950886766712</v>
      </c>
      <c r="U498" s="11" t="s">
        <v>592</v>
      </c>
      <c r="V498" s="11" t="s">
        <v>594</v>
      </c>
      <c r="W498" s="11"/>
      <c r="X498" s="9" t="s">
        <v>1338</v>
      </c>
      <c r="Y498" s="9"/>
      <c r="Z498" s="8" t="s">
        <v>481</v>
      </c>
      <c r="AA498" s="9"/>
      <c r="AB498" s="9" t="s">
        <v>2347</v>
      </c>
      <c r="AC498" s="46" t="s">
        <v>2351</v>
      </c>
    </row>
    <row r="499" spans="1:29" ht="33.75" customHeight="1">
      <c r="A499" s="9"/>
      <c r="B499" s="8" t="s">
        <v>1742</v>
      </c>
      <c r="C499" s="9">
        <v>404200</v>
      </c>
      <c r="D499" s="9">
        <v>546000</v>
      </c>
      <c r="E499" s="9" t="s">
        <v>2554</v>
      </c>
      <c r="F499" s="9">
        <v>54.808848716900002</v>
      </c>
      <c r="G499" s="9">
        <v>-1.9361793592700001</v>
      </c>
      <c r="H499" s="9"/>
      <c r="I499" s="8" t="s">
        <v>2363</v>
      </c>
      <c r="J499" s="9">
        <v>326</v>
      </c>
      <c r="K499" s="11"/>
      <c r="L499" s="11" t="s">
        <v>2</v>
      </c>
      <c r="M499" s="8" t="s">
        <v>592</v>
      </c>
      <c r="N499" s="8" t="s">
        <v>592</v>
      </c>
      <c r="O499" s="11" t="s">
        <v>592</v>
      </c>
      <c r="P499" s="22">
        <v>0</v>
      </c>
      <c r="Q499" s="12"/>
      <c r="R499" s="11" t="s">
        <v>237</v>
      </c>
      <c r="S499" s="8">
        <v>13</v>
      </c>
      <c r="T499" s="12"/>
      <c r="U499" s="11" t="s">
        <v>592</v>
      </c>
      <c r="V499" s="11" t="s">
        <v>593</v>
      </c>
      <c r="W499" s="11"/>
      <c r="X499" s="9" t="s">
        <v>1338</v>
      </c>
      <c r="Y499" s="9"/>
      <c r="Z499" s="8" t="s">
        <v>481</v>
      </c>
      <c r="AA499" s="9"/>
      <c r="AB499" s="9" t="s">
        <v>2347</v>
      </c>
      <c r="AC499" s="46" t="s">
        <v>2351</v>
      </c>
    </row>
    <row r="500" spans="1:29" ht="33.75" customHeight="1">
      <c r="A500" s="9"/>
      <c r="B500" s="8" t="s">
        <v>1742</v>
      </c>
      <c r="C500" s="9">
        <v>381200</v>
      </c>
      <c r="D500" s="9">
        <v>530000</v>
      </c>
      <c r="E500" s="9" t="s">
        <v>2554</v>
      </c>
      <c r="F500" s="9">
        <v>54.664725769999997</v>
      </c>
      <c r="G500" s="9">
        <v>-2.2929789925900002</v>
      </c>
      <c r="H500" s="9"/>
      <c r="I500" s="8" t="s">
        <v>2364</v>
      </c>
      <c r="J500" s="9">
        <v>500</v>
      </c>
      <c r="K500" s="11"/>
      <c r="L500" s="11" t="s">
        <v>2</v>
      </c>
      <c r="M500" s="8" t="s">
        <v>592</v>
      </c>
      <c r="N500" s="8" t="s">
        <v>592</v>
      </c>
      <c r="O500" s="11" t="s">
        <v>592</v>
      </c>
      <c r="P500" s="22">
        <v>0</v>
      </c>
      <c r="Q500" s="12"/>
      <c r="R500" s="11" t="s">
        <v>237</v>
      </c>
      <c r="S500" s="8">
        <v>20</v>
      </c>
      <c r="T500" s="12"/>
      <c r="U500" s="11" t="s">
        <v>592</v>
      </c>
      <c r="V500" s="11" t="s">
        <v>594</v>
      </c>
      <c r="W500" s="11"/>
      <c r="X500" s="9" t="s">
        <v>1338</v>
      </c>
      <c r="Y500" s="9"/>
      <c r="Z500" s="8" t="s">
        <v>481</v>
      </c>
      <c r="AA500" s="9"/>
      <c r="AB500" s="9" t="s">
        <v>2347</v>
      </c>
      <c r="AC500" s="46" t="s">
        <v>2351</v>
      </c>
    </row>
    <row r="501" spans="1:29" ht="33.75" customHeight="1">
      <c r="A501" s="9"/>
      <c r="B501" s="8" t="s">
        <v>1742</v>
      </c>
      <c r="C501" s="9">
        <v>380710</v>
      </c>
      <c r="D501" s="9">
        <v>530420</v>
      </c>
      <c r="E501" s="9" t="s">
        <v>2554</v>
      </c>
      <c r="F501" s="9">
        <v>54.668301372599998</v>
      </c>
      <c r="G501" s="9">
        <v>-2.3007570738999998</v>
      </c>
      <c r="H501" s="9"/>
      <c r="I501" s="8" t="s">
        <v>2365</v>
      </c>
      <c r="J501" s="9">
        <v>500</v>
      </c>
      <c r="K501" s="11"/>
      <c r="L501" s="11" t="s">
        <v>2</v>
      </c>
      <c r="M501" s="8">
        <v>10070</v>
      </c>
      <c r="N501" s="8">
        <v>3150</v>
      </c>
      <c r="O501" s="11">
        <f>M501-N501</f>
        <v>6920</v>
      </c>
      <c r="P501" s="22">
        <v>7</v>
      </c>
      <c r="Q501" s="12">
        <f>P501/O501*1000</f>
        <v>1.0115606936416184</v>
      </c>
      <c r="R501" s="11" t="s">
        <v>237</v>
      </c>
      <c r="S501" s="8">
        <v>46</v>
      </c>
      <c r="T501" s="12">
        <f>S501/O501*1000</f>
        <v>6.6473988439306364</v>
      </c>
      <c r="U501" s="11" t="s">
        <v>592</v>
      </c>
      <c r="V501" s="11" t="s">
        <v>594</v>
      </c>
      <c r="W501" s="11"/>
      <c r="X501" s="9" t="s">
        <v>1338</v>
      </c>
      <c r="Y501" s="9"/>
      <c r="Z501" s="8" t="s">
        <v>481</v>
      </c>
      <c r="AA501" s="9"/>
      <c r="AB501" s="9" t="s">
        <v>2347</v>
      </c>
      <c r="AC501" s="46" t="s">
        <v>2351</v>
      </c>
    </row>
    <row r="502" spans="1:29" ht="33.75" customHeight="1">
      <c r="A502" s="9"/>
      <c r="B502" s="8" t="s">
        <v>1742</v>
      </c>
      <c r="C502" s="9">
        <v>382800</v>
      </c>
      <c r="D502" s="9">
        <v>557700</v>
      </c>
      <c r="E502" s="9" t="s">
        <v>2555</v>
      </c>
      <c r="F502" s="9">
        <v>54.913705680299998</v>
      </c>
      <c r="G502" s="9">
        <v>-2.2698280901099999</v>
      </c>
      <c r="H502" s="9" t="s">
        <v>1798</v>
      </c>
      <c r="I502" s="8" t="s">
        <v>1799</v>
      </c>
      <c r="J502" s="9">
        <v>305</v>
      </c>
      <c r="K502" s="11"/>
      <c r="L502" s="11" t="s">
        <v>2</v>
      </c>
      <c r="M502" s="8" t="s">
        <v>592</v>
      </c>
      <c r="N502" s="8" t="s">
        <v>592</v>
      </c>
      <c r="O502" s="11" t="s">
        <v>592</v>
      </c>
      <c r="P502" s="22">
        <v>0</v>
      </c>
      <c r="Q502" s="12"/>
      <c r="R502" s="11" t="s">
        <v>237</v>
      </c>
      <c r="S502" s="8">
        <v>10</v>
      </c>
      <c r="T502" s="12"/>
      <c r="U502" s="11" t="s">
        <v>592</v>
      </c>
      <c r="V502" s="11" t="s">
        <v>593</v>
      </c>
      <c r="W502" s="11"/>
      <c r="X502" s="9" t="s">
        <v>1800</v>
      </c>
      <c r="Y502" s="9"/>
      <c r="Z502" s="8" t="s">
        <v>1801</v>
      </c>
      <c r="AA502" s="9"/>
      <c r="AB502" s="9" t="s">
        <v>2347</v>
      </c>
      <c r="AC502" s="46" t="s">
        <v>2351</v>
      </c>
    </row>
    <row r="503" spans="1:29" ht="33.75" customHeight="1">
      <c r="A503" s="9"/>
      <c r="B503" s="8" t="s">
        <v>1742</v>
      </c>
      <c r="C503" s="9">
        <v>379900</v>
      </c>
      <c r="D503" s="9">
        <v>530700</v>
      </c>
      <c r="E503" s="9" t="s">
        <v>2556</v>
      </c>
      <c r="F503" s="9">
        <v>54.670965877299999</v>
      </c>
      <c r="G503" s="9">
        <v>-2.3131813134299999</v>
      </c>
      <c r="H503" s="9" t="s">
        <v>1802</v>
      </c>
      <c r="I503" s="8" t="s">
        <v>1803</v>
      </c>
      <c r="J503" s="9">
        <v>200</v>
      </c>
      <c r="K503" s="11"/>
      <c r="L503" s="11" t="s">
        <v>2</v>
      </c>
      <c r="M503" s="8" t="s">
        <v>592</v>
      </c>
      <c r="N503" s="8" t="s">
        <v>592</v>
      </c>
      <c r="O503" s="11" t="s">
        <v>592</v>
      </c>
      <c r="P503" s="22">
        <v>0</v>
      </c>
      <c r="Q503" s="12"/>
      <c r="R503" s="11" t="s">
        <v>237</v>
      </c>
      <c r="S503" s="8">
        <v>3</v>
      </c>
      <c r="T503" s="12"/>
      <c r="U503" s="11" t="s">
        <v>592</v>
      </c>
      <c r="V503" s="11" t="s">
        <v>593</v>
      </c>
      <c r="W503" s="11"/>
      <c r="X503" s="9" t="s">
        <v>1800</v>
      </c>
      <c r="Y503" s="9"/>
      <c r="Z503" s="8" t="s">
        <v>1801</v>
      </c>
      <c r="AA503" s="9"/>
      <c r="AB503" s="9" t="s">
        <v>2347</v>
      </c>
      <c r="AC503" s="46" t="s">
        <v>2351</v>
      </c>
    </row>
    <row r="504" spans="1:29" ht="33.75" customHeight="1">
      <c r="A504" s="9"/>
      <c r="B504" s="8" t="s">
        <v>1742</v>
      </c>
      <c r="C504" s="9">
        <v>380300</v>
      </c>
      <c r="D504" s="9">
        <v>530500</v>
      </c>
      <c r="E504" s="9" t="s">
        <v>2556</v>
      </c>
      <c r="F504" s="9">
        <v>54.669184458700002</v>
      </c>
      <c r="G504" s="9">
        <v>-2.3069655994699998</v>
      </c>
      <c r="H504" s="9" t="s">
        <v>1804</v>
      </c>
      <c r="I504" s="8" t="s">
        <v>1805</v>
      </c>
      <c r="J504" s="9">
        <v>280</v>
      </c>
      <c r="K504" s="11"/>
      <c r="L504" s="11" t="s">
        <v>2</v>
      </c>
      <c r="M504" s="8" t="s">
        <v>592</v>
      </c>
      <c r="N504" s="8" t="s">
        <v>592</v>
      </c>
      <c r="O504" s="11" t="s">
        <v>592</v>
      </c>
      <c r="P504" s="22">
        <v>0</v>
      </c>
      <c r="Q504" s="12"/>
      <c r="R504" s="11" t="s">
        <v>237</v>
      </c>
      <c r="S504" s="8">
        <v>2</v>
      </c>
      <c r="T504" s="12"/>
      <c r="U504" s="11" t="s">
        <v>592</v>
      </c>
      <c r="V504" s="11" t="s">
        <v>593</v>
      </c>
      <c r="W504" s="11"/>
      <c r="X504" s="9" t="s">
        <v>1800</v>
      </c>
      <c r="Y504" s="9"/>
      <c r="Z504" s="8" t="s">
        <v>1801</v>
      </c>
      <c r="AA504" s="9"/>
      <c r="AB504" s="9" t="s">
        <v>2347</v>
      </c>
      <c r="AC504" s="46" t="s">
        <v>2351</v>
      </c>
    </row>
    <row r="505" spans="1:29" ht="33.75" customHeight="1">
      <c r="A505" s="9"/>
      <c r="B505" s="8" t="s">
        <v>1742</v>
      </c>
      <c r="C505" s="9">
        <v>379600</v>
      </c>
      <c r="D505" s="9">
        <v>544100</v>
      </c>
      <c r="E505" s="9" t="s">
        <v>2555</v>
      </c>
      <c r="F505" s="9">
        <v>54.791371726000001</v>
      </c>
      <c r="G505" s="9">
        <v>-2.31877750674</v>
      </c>
      <c r="H505" s="9" t="s">
        <v>1806</v>
      </c>
      <c r="I505" s="8" t="s">
        <v>1807</v>
      </c>
      <c r="J505" s="9">
        <v>625</v>
      </c>
      <c r="K505" s="11"/>
      <c r="L505" s="11" t="s">
        <v>2</v>
      </c>
      <c r="M505" s="8" t="s">
        <v>592</v>
      </c>
      <c r="N505" s="8" t="s">
        <v>592</v>
      </c>
      <c r="O505" s="11" t="s">
        <v>592</v>
      </c>
      <c r="P505" s="22">
        <v>0</v>
      </c>
      <c r="Q505" s="12"/>
      <c r="R505" s="11" t="s">
        <v>237</v>
      </c>
      <c r="S505" s="8">
        <v>12</v>
      </c>
      <c r="T505" s="12"/>
      <c r="U505" s="11" t="s">
        <v>592</v>
      </c>
      <c r="V505" s="11" t="s">
        <v>593</v>
      </c>
      <c r="W505" s="11"/>
      <c r="X505" s="9" t="s">
        <v>1800</v>
      </c>
      <c r="Y505" s="9"/>
      <c r="Z505" s="8" t="s">
        <v>1801</v>
      </c>
      <c r="AA505" s="9"/>
      <c r="AB505" s="9" t="s">
        <v>2347</v>
      </c>
      <c r="AC505" s="46" t="s">
        <v>2351</v>
      </c>
    </row>
    <row r="506" spans="1:29" ht="33.75" customHeight="1">
      <c r="A506" s="9"/>
      <c r="B506" s="8" t="s">
        <v>1742</v>
      </c>
      <c r="C506" s="9">
        <v>381900</v>
      </c>
      <c r="D506" s="9">
        <v>524800</v>
      </c>
      <c r="E506" s="9" t="s">
        <v>2555</v>
      </c>
      <c r="F506" s="9">
        <v>54.618021334399998</v>
      </c>
      <c r="G506" s="9">
        <v>-2.2818032074999999</v>
      </c>
      <c r="H506" s="9" t="s">
        <v>1808</v>
      </c>
      <c r="I506" s="8" t="s">
        <v>1809</v>
      </c>
      <c r="J506" s="9">
        <v>701</v>
      </c>
      <c r="K506" s="11"/>
      <c r="L506" s="11" t="s">
        <v>2</v>
      </c>
      <c r="M506" s="8" t="s">
        <v>592</v>
      </c>
      <c r="N506" s="8" t="s">
        <v>592</v>
      </c>
      <c r="O506" s="11" t="s">
        <v>592</v>
      </c>
      <c r="P506" s="22">
        <v>0</v>
      </c>
      <c r="Q506" s="12"/>
      <c r="R506" s="11" t="s">
        <v>237</v>
      </c>
      <c r="S506" s="8">
        <v>10</v>
      </c>
      <c r="T506" s="12"/>
      <c r="U506" s="11" t="s">
        <v>592</v>
      </c>
      <c r="V506" s="11" t="s">
        <v>593</v>
      </c>
      <c r="W506" s="11"/>
      <c r="X506" s="9" t="s">
        <v>1800</v>
      </c>
      <c r="Y506" s="9"/>
      <c r="Z506" s="8" t="s">
        <v>1801</v>
      </c>
      <c r="AA506" s="9"/>
      <c r="AB506" s="9" t="s">
        <v>2347</v>
      </c>
      <c r="AC506" s="46" t="s">
        <v>2351</v>
      </c>
    </row>
    <row r="507" spans="1:29" ht="33.75" customHeight="1">
      <c r="A507" s="9"/>
      <c r="B507" s="8" t="s">
        <v>1742</v>
      </c>
      <c r="C507" s="9">
        <v>388600</v>
      </c>
      <c r="D507" s="9">
        <v>527800</v>
      </c>
      <c r="E507" s="9" t="s">
        <v>2557</v>
      </c>
      <c r="F507" s="9">
        <v>54.644284398300002</v>
      </c>
      <c r="G507" s="9">
        <v>-2.1750661874200001</v>
      </c>
      <c r="H507" s="9" t="s">
        <v>1810</v>
      </c>
      <c r="I507" s="8" t="s">
        <v>1811</v>
      </c>
      <c r="J507" s="9">
        <v>365</v>
      </c>
      <c r="K507" s="11"/>
      <c r="L507" s="11" t="s">
        <v>2</v>
      </c>
      <c r="M507" s="8">
        <v>5920</v>
      </c>
      <c r="N507" s="8">
        <v>2440</v>
      </c>
      <c r="O507" s="11">
        <f>M507-N507</f>
        <v>3480</v>
      </c>
      <c r="P507" s="22">
        <v>2</v>
      </c>
      <c r="Q507" s="12">
        <f>P507/O507*1000</f>
        <v>0.57471264367816088</v>
      </c>
      <c r="R507" s="11" t="s">
        <v>237</v>
      </c>
      <c r="S507" s="8">
        <v>10</v>
      </c>
      <c r="T507" s="12">
        <f>S507/O507*1000</f>
        <v>2.8735632183908044</v>
      </c>
      <c r="U507" s="11" t="s">
        <v>592</v>
      </c>
      <c r="V507" s="11" t="s">
        <v>593</v>
      </c>
      <c r="W507" s="11"/>
      <c r="X507" s="9" t="s">
        <v>1800</v>
      </c>
      <c r="Y507" s="9"/>
      <c r="Z507" s="8" t="s">
        <v>1801</v>
      </c>
      <c r="AA507" s="9"/>
      <c r="AB507" s="9" t="s">
        <v>2347</v>
      </c>
      <c r="AC507" s="46" t="s">
        <v>2351</v>
      </c>
    </row>
    <row r="508" spans="1:29" ht="33.75" customHeight="1">
      <c r="A508" s="9"/>
      <c r="B508" s="8" t="s">
        <v>1742</v>
      </c>
      <c r="C508" s="9">
        <v>381400</v>
      </c>
      <c r="D508" s="9">
        <v>529000</v>
      </c>
      <c r="E508" s="9" t="s">
        <v>2556</v>
      </c>
      <c r="F508" s="9">
        <v>54.655746689200001</v>
      </c>
      <c r="G508" s="9">
        <v>-2.2898143627500001</v>
      </c>
      <c r="H508" s="9" t="s">
        <v>1812</v>
      </c>
      <c r="I508" s="8" t="s">
        <v>1813</v>
      </c>
      <c r="J508" s="9">
        <v>480</v>
      </c>
      <c r="K508" s="11"/>
      <c r="L508" s="11" t="s">
        <v>2</v>
      </c>
      <c r="M508" s="8" t="s">
        <v>592</v>
      </c>
      <c r="N508" s="8" t="s">
        <v>592</v>
      </c>
      <c r="O508" s="11" t="s">
        <v>592</v>
      </c>
      <c r="P508" s="22">
        <v>1</v>
      </c>
      <c r="Q508" s="12"/>
      <c r="R508" s="11" t="s">
        <v>237</v>
      </c>
      <c r="S508" s="8">
        <v>7</v>
      </c>
      <c r="T508" s="12"/>
      <c r="U508" s="11" t="s">
        <v>592</v>
      </c>
      <c r="V508" s="11" t="s">
        <v>593</v>
      </c>
      <c r="W508" s="11"/>
      <c r="X508" s="9" t="s">
        <v>1800</v>
      </c>
      <c r="Y508" s="9"/>
      <c r="Z508" s="8" t="s">
        <v>1801</v>
      </c>
      <c r="AA508" s="9"/>
      <c r="AB508" s="9" t="s">
        <v>2347</v>
      </c>
      <c r="AC508" s="46" t="s">
        <v>2351</v>
      </c>
    </row>
    <row r="509" spans="1:29" ht="33.75" customHeight="1">
      <c r="A509" s="9"/>
      <c r="B509" s="8" t="s">
        <v>1742</v>
      </c>
      <c r="C509" s="9">
        <v>381800</v>
      </c>
      <c r="D509" s="9">
        <v>530500</v>
      </c>
      <c r="E509" s="9" t="s">
        <v>2556</v>
      </c>
      <c r="F509" s="9">
        <v>54.669241195399998</v>
      </c>
      <c r="G509" s="9">
        <v>-2.2837085195700002</v>
      </c>
      <c r="H509" s="9" t="s">
        <v>1814</v>
      </c>
      <c r="I509" s="8" t="s">
        <v>1815</v>
      </c>
      <c r="J509" s="9">
        <v>500</v>
      </c>
      <c r="K509" s="11"/>
      <c r="L509" s="11" t="s">
        <v>2</v>
      </c>
      <c r="M509" s="8" t="s">
        <v>592</v>
      </c>
      <c r="N509" s="8" t="s">
        <v>592</v>
      </c>
      <c r="O509" s="11" t="s">
        <v>592</v>
      </c>
      <c r="P509" s="22">
        <v>0</v>
      </c>
      <c r="Q509" s="12"/>
      <c r="R509" s="11" t="s">
        <v>237</v>
      </c>
      <c r="S509" s="8">
        <v>28</v>
      </c>
      <c r="T509" s="12"/>
      <c r="U509" s="11" t="s">
        <v>592</v>
      </c>
      <c r="V509" s="11" t="s">
        <v>594</v>
      </c>
      <c r="W509" s="11"/>
      <c r="X509" s="9" t="s">
        <v>1800</v>
      </c>
      <c r="Y509" s="9"/>
      <c r="Z509" s="8" t="s">
        <v>1801</v>
      </c>
      <c r="AA509" s="9"/>
      <c r="AB509" s="9" t="s">
        <v>2347</v>
      </c>
      <c r="AC509" s="46" t="s">
        <v>2351</v>
      </c>
    </row>
    <row r="510" spans="1:29" ht="33.75" customHeight="1">
      <c r="A510" s="9"/>
      <c r="B510" s="8" t="s">
        <v>1742</v>
      </c>
      <c r="C510" s="9">
        <v>381700</v>
      </c>
      <c r="D510" s="9">
        <v>530500</v>
      </c>
      <c r="E510" s="9" t="s">
        <v>2556</v>
      </c>
      <c r="F510" s="9">
        <v>54.669237551800002</v>
      </c>
      <c r="G510" s="9">
        <v>-2.2852589940599999</v>
      </c>
      <c r="H510" s="9" t="s">
        <v>1816</v>
      </c>
      <c r="I510" s="8" t="s">
        <v>1817</v>
      </c>
      <c r="J510" s="9">
        <v>500</v>
      </c>
      <c r="K510" s="11"/>
      <c r="L510" s="11" t="s">
        <v>2</v>
      </c>
      <c r="M510" s="8" t="s">
        <v>592</v>
      </c>
      <c r="N510" s="8" t="s">
        <v>592</v>
      </c>
      <c r="O510" s="11" t="s">
        <v>592</v>
      </c>
      <c r="P510" s="22">
        <v>0</v>
      </c>
      <c r="Q510" s="12"/>
      <c r="R510" s="11" t="s">
        <v>237</v>
      </c>
      <c r="S510" s="8">
        <v>6</v>
      </c>
      <c r="T510" s="12"/>
      <c r="U510" s="11" t="s">
        <v>592</v>
      </c>
      <c r="V510" s="11" t="s">
        <v>594</v>
      </c>
      <c r="W510" s="11"/>
      <c r="X510" s="9" t="s">
        <v>1800</v>
      </c>
      <c r="Y510" s="9"/>
      <c r="Z510" s="8" t="s">
        <v>1801</v>
      </c>
      <c r="AA510" s="9"/>
      <c r="AB510" s="9" t="s">
        <v>2347</v>
      </c>
      <c r="AC510" s="46" t="s">
        <v>2351</v>
      </c>
    </row>
    <row r="511" spans="1:29" ht="33.75" customHeight="1">
      <c r="A511" s="9"/>
      <c r="B511" s="8" t="s">
        <v>1742</v>
      </c>
      <c r="C511" s="9">
        <v>381400</v>
      </c>
      <c r="D511" s="9">
        <v>529100</v>
      </c>
      <c r="E511" s="9" t="s">
        <v>2556</v>
      </c>
      <c r="F511" s="9">
        <v>54.656645344300003</v>
      </c>
      <c r="G511" s="9">
        <v>-2.2898207637799999</v>
      </c>
      <c r="H511" s="9" t="s">
        <v>1818</v>
      </c>
      <c r="I511" s="8" t="s">
        <v>1819</v>
      </c>
      <c r="J511" s="9">
        <v>490</v>
      </c>
      <c r="K511" s="11"/>
      <c r="L511" s="11" t="s">
        <v>2</v>
      </c>
      <c r="M511" s="8" t="s">
        <v>592</v>
      </c>
      <c r="N511" s="8" t="s">
        <v>592</v>
      </c>
      <c r="O511" s="11" t="s">
        <v>592</v>
      </c>
      <c r="P511" s="22">
        <v>0</v>
      </c>
      <c r="Q511" s="12"/>
      <c r="R511" s="11" t="s">
        <v>237</v>
      </c>
      <c r="S511" s="8">
        <v>32</v>
      </c>
      <c r="T511" s="12"/>
      <c r="U511" s="11" t="s">
        <v>592</v>
      </c>
      <c r="V511" s="11" t="s">
        <v>594</v>
      </c>
      <c r="W511" s="11"/>
      <c r="X511" s="9" t="s">
        <v>1800</v>
      </c>
      <c r="Y511" s="9"/>
      <c r="Z511" s="8" t="s">
        <v>1801</v>
      </c>
      <c r="AA511" s="9"/>
      <c r="AB511" s="9" t="s">
        <v>2347</v>
      </c>
      <c r="AC511" s="46" t="s">
        <v>2351</v>
      </c>
    </row>
    <row r="512" spans="1:29" ht="33.75" customHeight="1">
      <c r="A512" s="9"/>
      <c r="B512" s="8" t="s">
        <v>1742</v>
      </c>
      <c r="C512" s="9">
        <v>380710</v>
      </c>
      <c r="D512" s="9">
        <v>530410</v>
      </c>
      <c r="E512" s="9" t="s">
        <v>2556</v>
      </c>
      <c r="F512" s="9">
        <v>54.668391622900003</v>
      </c>
      <c r="G512" s="9">
        <v>-2.3006026944500002</v>
      </c>
      <c r="H512" s="9" t="s">
        <v>1820</v>
      </c>
      <c r="I512" s="8" t="s">
        <v>1821</v>
      </c>
      <c r="J512" s="9">
        <v>490</v>
      </c>
      <c r="K512" s="11"/>
      <c r="L512" s="11" t="s">
        <v>2</v>
      </c>
      <c r="M512" s="8" t="s">
        <v>592</v>
      </c>
      <c r="N512" s="8" t="s">
        <v>592</v>
      </c>
      <c r="O512" s="11" t="s">
        <v>592</v>
      </c>
      <c r="P512" s="22">
        <v>0</v>
      </c>
      <c r="Q512" s="12"/>
      <c r="R512" s="11" t="s">
        <v>237</v>
      </c>
      <c r="S512" s="8">
        <v>8</v>
      </c>
      <c r="T512" s="12"/>
      <c r="U512" s="11" t="s">
        <v>592</v>
      </c>
      <c r="V512" s="11" t="s">
        <v>594</v>
      </c>
      <c r="W512" s="11"/>
      <c r="X512" s="9" t="s">
        <v>1800</v>
      </c>
      <c r="Y512" s="9"/>
      <c r="Z512" s="8" t="s">
        <v>1801</v>
      </c>
      <c r="AA512" s="9"/>
      <c r="AB512" s="9" t="s">
        <v>2347</v>
      </c>
      <c r="AC512" s="46" t="s">
        <v>2351</v>
      </c>
    </row>
    <row r="513" spans="1:29" ht="33.75" customHeight="1">
      <c r="A513" s="9"/>
      <c r="B513" s="8" t="s">
        <v>1742</v>
      </c>
      <c r="C513" s="9">
        <v>380700</v>
      </c>
      <c r="D513" s="9">
        <v>530400</v>
      </c>
      <c r="E513" s="9" t="s">
        <v>2556</v>
      </c>
      <c r="F513" s="9">
        <v>54.668301372599998</v>
      </c>
      <c r="G513" s="9">
        <v>-2.3007570738999998</v>
      </c>
      <c r="H513" s="9" t="s">
        <v>1822</v>
      </c>
      <c r="I513" s="8" t="s">
        <v>1823</v>
      </c>
      <c r="J513" s="9">
        <v>490</v>
      </c>
      <c r="K513" s="11"/>
      <c r="L513" s="11" t="s">
        <v>2</v>
      </c>
      <c r="M513" s="8" t="s">
        <v>592</v>
      </c>
      <c r="N513" s="8" t="s">
        <v>592</v>
      </c>
      <c r="O513" s="11" t="s">
        <v>592</v>
      </c>
      <c r="P513" s="22">
        <v>0</v>
      </c>
      <c r="Q513" s="12"/>
      <c r="R513" s="11" t="s">
        <v>237</v>
      </c>
      <c r="S513" s="8">
        <v>4</v>
      </c>
      <c r="T513" s="12"/>
      <c r="U513" s="11" t="s">
        <v>592</v>
      </c>
      <c r="V513" s="11" t="s">
        <v>594</v>
      </c>
      <c r="W513" s="11"/>
      <c r="X513" s="9" t="s">
        <v>1800</v>
      </c>
      <c r="Y513" s="9"/>
      <c r="Z513" s="8" t="s">
        <v>1801</v>
      </c>
      <c r="AA513" s="9"/>
      <c r="AB513" s="9" t="s">
        <v>2347</v>
      </c>
      <c r="AC513" s="46" t="s">
        <v>2351</v>
      </c>
    </row>
    <row r="514" spans="1:29" ht="33.75" customHeight="1">
      <c r="A514" s="9"/>
      <c r="B514" s="8" t="s">
        <v>1742</v>
      </c>
      <c r="C514" s="9">
        <v>382500</v>
      </c>
      <c r="D514" s="9">
        <v>529500</v>
      </c>
      <c r="E514" s="9" t="s">
        <v>2556</v>
      </c>
      <c r="F514" s="9">
        <v>54.660279593200002</v>
      </c>
      <c r="G514" s="9">
        <v>-2.2727949087199999</v>
      </c>
      <c r="H514" s="9" t="s">
        <v>1824</v>
      </c>
      <c r="I514" s="8" t="s">
        <v>1825</v>
      </c>
      <c r="J514" s="9">
        <v>503</v>
      </c>
      <c r="K514" s="11"/>
      <c r="L514" s="11" t="s">
        <v>2</v>
      </c>
      <c r="M514" s="8" t="s">
        <v>592</v>
      </c>
      <c r="N514" s="8" t="s">
        <v>592</v>
      </c>
      <c r="O514" s="11" t="s">
        <v>592</v>
      </c>
      <c r="P514" s="22">
        <v>0</v>
      </c>
      <c r="Q514" s="12"/>
      <c r="R514" s="11" t="s">
        <v>237</v>
      </c>
      <c r="S514" s="8">
        <v>19</v>
      </c>
      <c r="T514" s="12"/>
      <c r="U514" s="11" t="s">
        <v>592</v>
      </c>
      <c r="V514" s="11" t="s">
        <v>594</v>
      </c>
      <c r="W514" s="11"/>
      <c r="X514" s="9" t="s">
        <v>1800</v>
      </c>
      <c r="Y514" s="9"/>
      <c r="Z514" s="8" t="s">
        <v>1801</v>
      </c>
      <c r="AA514" s="9"/>
      <c r="AB514" s="9" t="s">
        <v>2347</v>
      </c>
      <c r="AC514" s="46" t="s">
        <v>2351</v>
      </c>
    </row>
    <row r="515" spans="1:29" ht="33.75" customHeight="1">
      <c r="A515" s="9"/>
      <c r="B515" s="8" t="s">
        <v>1742</v>
      </c>
      <c r="C515" s="9">
        <v>381500</v>
      </c>
      <c r="D515" s="9">
        <v>529800</v>
      </c>
      <c r="E515" s="9" t="s">
        <v>2556</v>
      </c>
      <c r="F515" s="9">
        <v>54.662939628700002</v>
      </c>
      <c r="G515" s="9">
        <v>-2.2883153470500002</v>
      </c>
      <c r="H515" s="9" t="s">
        <v>1826</v>
      </c>
      <c r="I515" s="8" t="s">
        <v>1827</v>
      </c>
      <c r="J515" s="9">
        <v>490</v>
      </c>
      <c r="K515" s="11"/>
      <c r="L515" s="11" t="s">
        <v>2</v>
      </c>
      <c r="M515" s="8" t="s">
        <v>592</v>
      </c>
      <c r="N515" s="8" t="s">
        <v>592</v>
      </c>
      <c r="O515" s="11" t="s">
        <v>592</v>
      </c>
      <c r="P515" s="22">
        <v>0</v>
      </c>
      <c r="Q515" s="12"/>
      <c r="R515" s="11" t="s">
        <v>237</v>
      </c>
      <c r="S515" s="8">
        <v>6</v>
      </c>
      <c r="T515" s="12"/>
      <c r="U515" s="11" t="s">
        <v>592</v>
      </c>
      <c r="V515" s="11" t="s">
        <v>594</v>
      </c>
      <c r="W515" s="11"/>
      <c r="X515" s="9" t="s">
        <v>1800</v>
      </c>
      <c r="Y515" s="9"/>
      <c r="Z515" s="8" t="s">
        <v>1801</v>
      </c>
      <c r="AA515" s="9"/>
      <c r="AB515" s="9" t="s">
        <v>2347</v>
      </c>
      <c r="AC515" s="46" t="s">
        <v>2351</v>
      </c>
    </row>
    <row r="516" spans="1:29" ht="33.75" customHeight="1">
      <c r="A516" s="9"/>
      <c r="B516" s="8" t="s">
        <v>1742</v>
      </c>
      <c r="C516" s="9">
        <v>381400</v>
      </c>
      <c r="D516" s="9">
        <v>529400</v>
      </c>
      <c r="E516" s="9" t="s">
        <v>2556</v>
      </c>
      <c r="F516" s="9">
        <v>54.659341308899997</v>
      </c>
      <c r="G516" s="9">
        <v>-2.28983996901</v>
      </c>
      <c r="H516" s="9" t="s">
        <v>1828</v>
      </c>
      <c r="I516" s="8" t="s">
        <v>1829</v>
      </c>
      <c r="J516" s="9">
        <v>490</v>
      </c>
      <c r="K516" s="11"/>
      <c r="L516" s="11" t="s">
        <v>2</v>
      </c>
      <c r="M516" s="8" t="s">
        <v>592</v>
      </c>
      <c r="N516" s="8" t="s">
        <v>592</v>
      </c>
      <c r="O516" s="11" t="s">
        <v>592</v>
      </c>
      <c r="P516" s="22">
        <v>0</v>
      </c>
      <c r="Q516" s="12"/>
      <c r="R516" s="11" t="s">
        <v>237</v>
      </c>
      <c r="S516" s="8">
        <v>6</v>
      </c>
      <c r="T516" s="12"/>
      <c r="U516" s="11" t="s">
        <v>592</v>
      </c>
      <c r="V516" s="11" t="s">
        <v>594</v>
      </c>
      <c r="W516" s="11"/>
      <c r="X516" s="9" t="s">
        <v>1800</v>
      </c>
      <c r="Y516" s="9"/>
      <c r="Z516" s="8" t="s">
        <v>1801</v>
      </c>
      <c r="AA516" s="9"/>
      <c r="AB516" s="9" t="s">
        <v>2347</v>
      </c>
      <c r="AC516" s="46" t="s">
        <v>2351</v>
      </c>
    </row>
    <row r="517" spans="1:29" ht="33.75" customHeight="1">
      <c r="A517" s="9"/>
      <c r="B517" s="8" t="s">
        <v>1742</v>
      </c>
      <c r="C517" s="9">
        <v>381600</v>
      </c>
      <c r="D517" s="9">
        <v>529100</v>
      </c>
      <c r="E517" s="9" t="s">
        <v>2556</v>
      </c>
      <c r="F517" s="9">
        <v>54.656652727199997</v>
      </c>
      <c r="G517" s="9">
        <v>-2.28672077459</v>
      </c>
      <c r="H517" s="9" t="s">
        <v>1830</v>
      </c>
      <c r="I517" s="8" t="s">
        <v>1831</v>
      </c>
      <c r="J517" s="9">
        <v>490</v>
      </c>
      <c r="K517" s="11"/>
      <c r="L517" s="11" t="s">
        <v>2</v>
      </c>
      <c r="M517" s="8" t="s">
        <v>592</v>
      </c>
      <c r="N517" s="8" t="s">
        <v>592</v>
      </c>
      <c r="O517" s="11" t="s">
        <v>592</v>
      </c>
      <c r="P517" s="22">
        <v>0</v>
      </c>
      <c r="Q517" s="12"/>
      <c r="R517" s="11" t="s">
        <v>237</v>
      </c>
      <c r="S517" s="8">
        <v>7</v>
      </c>
      <c r="T517" s="12"/>
      <c r="U517" s="11" t="s">
        <v>592</v>
      </c>
      <c r="V517" s="11" t="s">
        <v>594</v>
      </c>
      <c r="W517" s="11"/>
      <c r="X517" s="9" t="s">
        <v>1800</v>
      </c>
      <c r="Y517" s="9"/>
      <c r="Z517" s="8" t="s">
        <v>1801</v>
      </c>
      <c r="AA517" s="9"/>
      <c r="AB517" s="9" t="s">
        <v>2347</v>
      </c>
      <c r="AC517" s="46" t="s">
        <v>2351</v>
      </c>
    </row>
    <row r="518" spans="1:29" ht="33.75" customHeight="1">
      <c r="A518" s="9"/>
      <c r="B518" s="8" t="s">
        <v>124</v>
      </c>
      <c r="C518" s="9">
        <v>431100</v>
      </c>
      <c r="D518" s="9">
        <v>587000</v>
      </c>
      <c r="E518" s="9" t="s">
        <v>2555</v>
      </c>
      <c r="F518" s="9">
        <v>55.176327704199998</v>
      </c>
      <c r="G518" s="9">
        <v>-1.5132329228400001</v>
      </c>
      <c r="H518" s="9" t="s">
        <v>1832</v>
      </c>
      <c r="I518" s="8" t="s">
        <v>1833</v>
      </c>
      <c r="J518" s="9">
        <v>9</v>
      </c>
      <c r="K518" s="11"/>
      <c r="L518" s="11" t="s">
        <v>2</v>
      </c>
      <c r="M518" s="8" t="s">
        <v>592</v>
      </c>
      <c r="N518" s="8" t="s">
        <v>592</v>
      </c>
      <c r="O518" s="11" t="s">
        <v>592</v>
      </c>
      <c r="P518" s="22">
        <v>0</v>
      </c>
      <c r="Q518" s="12"/>
      <c r="R518" s="11" t="s">
        <v>237</v>
      </c>
      <c r="S518" s="8">
        <v>16</v>
      </c>
      <c r="T518" s="12"/>
      <c r="U518" s="11" t="s">
        <v>592</v>
      </c>
      <c r="V518" s="11" t="s">
        <v>593</v>
      </c>
      <c r="W518" s="11"/>
      <c r="X518" s="9" t="s">
        <v>1800</v>
      </c>
      <c r="Y518" s="9"/>
      <c r="Z518" s="8" t="s">
        <v>1801</v>
      </c>
      <c r="AA518" s="9"/>
      <c r="AB518" s="9" t="s">
        <v>2347</v>
      </c>
      <c r="AC518" s="46" t="s">
        <v>2351</v>
      </c>
    </row>
    <row r="519" spans="1:29" ht="33.75" customHeight="1">
      <c r="A519" s="9"/>
      <c r="B519" s="8" t="s">
        <v>1834</v>
      </c>
      <c r="C519" s="9">
        <v>419000</v>
      </c>
      <c r="D519" s="9">
        <v>573700</v>
      </c>
      <c r="E519" s="9" t="s">
        <v>2555</v>
      </c>
      <c r="F519" s="9">
        <v>55.057425678900003</v>
      </c>
      <c r="G519" s="9">
        <v>-1.7040978346</v>
      </c>
      <c r="H519" s="9" t="s">
        <v>1835</v>
      </c>
      <c r="I519" s="8" t="s">
        <v>1836</v>
      </c>
      <c r="J519" s="9">
        <v>52</v>
      </c>
      <c r="K519" s="11"/>
      <c r="L519" s="11" t="s">
        <v>2</v>
      </c>
      <c r="M519" s="8" t="s">
        <v>592</v>
      </c>
      <c r="N519" s="8" t="s">
        <v>592</v>
      </c>
      <c r="O519" s="11" t="s">
        <v>592</v>
      </c>
      <c r="P519" s="22">
        <v>0</v>
      </c>
      <c r="Q519" s="12"/>
      <c r="R519" s="11" t="s">
        <v>237</v>
      </c>
      <c r="S519" s="8">
        <v>12</v>
      </c>
      <c r="T519" s="12"/>
      <c r="U519" s="11" t="s">
        <v>592</v>
      </c>
      <c r="V519" s="11" t="s">
        <v>593</v>
      </c>
      <c r="W519" s="11"/>
      <c r="X519" s="9" t="s">
        <v>1800</v>
      </c>
      <c r="Y519" s="9"/>
      <c r="Z519" s="8" t="s">
        <v>1801</v>
      </c>
      <c r="AA519" s="9"/>
      <c r="AB519" s="9" t="s">
        <v>2347</v>
      </c>
      <c r="AC519" s="46" t="s">
        <v>2351</v>
      </c>
    </row>
    <row r="520" spans="1:29" ht="33.75" customHeight="1">
      <c r="A520" s="9"/>
      <c r="B520" s="8" t="s">
        <v>1837</v>
      </c>
      <c r="C520" s="9">
        <v>413800</v>
      </c>
      <c r="D520" s="9">
        <v>496100</v>
      </c>
      <c r="E520" s="9" t="s">
        <v>2555</v>
      </c>
      <c r="F520" s="9">
        <v>54.360241660500002</v>
      </c>
      <c r="G520" s="9">
        <v>-1.78914551759</v>
      </c>
      <c r="H520" s="9" t="s">
        <v>1838</v>
      </c>
      <c r="I520" s="8" t="s">
        <v>1839</v>
      </c>
      <c r="J520" s="9">
        <v>445</v>
      </c>
      <c r="K520" s="11"/>
      <c r="L520" s="11" t="s">
        <v>2</v>
      </c>
      <c r="M520" s="8" t="s">
        <v>592</v>
      </c>
      <c r="N520" s="8" t="s">
        <v>592</v>
      </c>
      <c r="O520" s="11" t="s">
        <v>592</v>
      </c>
      <c r="P520" s="22">
        <v>0</v>
      </c>
      <c r="Q520" s="12"/>
      <c r="R520" s="11" t="s">
        <v>237</v>
      </c>
      <c r="S520" s="8">
        <v>11</v>
      </c>
      <c r="T520" s="12"/>
      <c r="U520" s="11" t="s">
        <v>592</v>
      </c>
      <c r="V520" s="11" t="s">
        <v>593</v>
      </c>
      <c r="W520" s="11"/>
      <c r="X520" s="9" t="s">
        <v>1800</v>
      </c>
      <c r="Y520" s="9"/>
      <c r="Z520" s="8" t="s">
        <v>1801</v>
      </c>
      <c r="AA520" s="9"/>
      <c r="AB520" s="9" t="s">
        <v>2347</v>
      </c>
      <c r="AC520" s="46" t="s">
        <v>2351</v>
      </c>
    </row>
    <row r="521" spans="1:29" ht="33.75" customHeight="1">
      <c r="A521" s="9"/>
      <c r="B521" s="8" t="s">
        <v>1837</v>
      </c>
      <c r="C521" s="9">
        <v>393000</v>
      </c>
      <c r="D521" s="9">
        <v>578500</v>
      </c>
      <c r="E521" s="9" t="s">
        <v>2555</v>
      </c>
      <c r="F521" s="9">
        <v>55.100866532600001</v>
      </c>
      <c r="G521" s="9">
        <v>-2.11123835226</v>
      </c>
      <c r="H521" s="9" t="s">
        <v>1840</v>
      </c>
      <c r="I521" s="8" t="s">
        <v>1841</v>
      </c>
      <c r="J521" s="9">
        <v>207</v>
      </c>
      <c r="K521" s="11"/>
      <c r="L521" s="11" t="s">
        <v>2</v>
      </c>
      <c r="M521" s="8" t="s">
        <v>592</v>
      </c>
      <c r="N521" s="8" t="s">
        <v>592</v>
      </c>
      <c r="O521" s="11" t="s">
        <v>592</v>
      </c>
      <c r="P521" s="22">
        <v>0</v>
      </c>
      <c r="Q521" s="12"/>
      <c r="R521" s="11" t="s">
        <v>237</v>
      </c>
      <c r="S521" s="8">
        <v>16</v>
      </c>
      <c r="T521" s="12"/>
      <c r="U521" s="11" t="s">
        <v>592</v>
      </c>
      <c r="V521" s="11" t="s">
        <v>593</v>
      </c>
      <c r="W521" s="11"/>
      <c r="X521" s="9" t="s">
        <v>1800</v>
      </c>
      <c r="Y521" s="9"/>
      <c r="Z521" s="8" t="s">
        <v>1801</v>
      </c>
      <c r="AA521" s="9"/>
      <c r="AB521" s="9" t="s">
        <v>2347</v>
      </c>
      <c r="AC521" s="46" t="s">
        <v>2351</v>
      </c>
    </row>
    <row r="522" spans="1:29" ht="33.75" customHeight="1">
      <c r="A522" s="9"/>
      <c r="B522" s="8" t="s">
        <v>1742</v>
      </c>
      <c r="C522" s="9">
        <v>380400</v>
      </c>
      <c r="D522" s="9">
        <v>530000</v>
      </c>
      <c r="E522" s="9" t="s">
        <v>2556</v>
      </c>
      <c r="F522" s="9">
        <v>54.664695118700003</v>
      </c>
      <c r="G522" s="9">
        <v>-2.3053813924300002</v>
      </c>
      <c r="H522" s="9" t="s">
        <v>1842</v>
      </c>
      <c r="I522" s="8" t="s">
        <v>1843</v>
      </c>
      <c r="J522" s="9">
        <v>466</v>
      </c>
      <c r="K522" s="11"/>
      <c r="L522" s="11" t="s">
        <v>2</v>
      </c>
      <c r="M522" s="8" t="s">
        <v>592</v>
      </c>
      <c r="N522" s="8" t="s">
        <v>592</v>
      </c>
      <c r="O522" s="11" t="s">
        <v>592</v>
      </c>
      <c r="P522" s="22">
        <v>0</v>
      </c>
      <c r="Q522" s="12"/>
      <c r="R522" s="11" t="s">
        <v>237</v>
      </c>
      <c r="S522" s="8">
        <v>40</v>
      </c>
      <c r="T522" s="12"/>
      <c r="U522" s="11" t="s">
        <v>592</v>
      </c>
      <c r="V522" s="11" t="s">
        <v>594</v>
      </c>
      <c r="W522" s="11"/>
      <c r="X522" s="9" t="s">
        <v>1800</v>
      </c>
      <c r="Y522" s="9"/>
      <c r="Z522" s="8" t="s">
        <v>1801</v>
      </c>
      <c r="AA522" s="9"/>
      <c r="AB522" s="9" t="s">
        <v>2347</v>
      </c>
      <c r="AC522" s="46" t="s">
        <v>2351</v>
      </c>
    </row>
    <row r="523" spans="1:29" ht="33.75" customHeight="1">
      <c r="A523" s="9"/>
      <c r="B523" s="8" t="s">
        <v>1742</v>
      </c>
      <c r="C523" s="9">
        <v>380300</v>
      </c>
      <c r="D523" s="9">
        <v>530000</v>
      </c>
      <c r="E523" s="9" t="s">
        <v>2556</v>
      </c>
      <c r="F523" s="9">
        <v>54.664691198</v>
      </c>
      <c r="G523" s="9">
        <v>-2.3069316907499999</v>
      </c>
      <c r="H523" s="9" t="s">
        <v>1844</v>
      </c>
      <c r="I523" s="8" t="s">
        <v>1845</v>
      </c>
      <c r="J523" s="9">
        <v>466</v>
      </c>
      <c r="K523" s="11"/>
      <c r="L523" s="11" t="s">
        <v>2</v>
      </c>
      <c r="M523" s="8" t="s">
        <v>592</v>
      </c>
      <c r="N523" s="8" t="s">
        <v>592</v>
      </c>
      <c r="O523" s="11" t="s">
        <v>592</v>
      </c>
      <c r="P523" s="22">
        <v>0</v>
      </c>
      <c r="Q523" s="12"/>
      <c r="R523" s="11" t="s">
        <v>237</v>
      </c>
      <c r="S523" s="8">
        <v>8</v>
      </c>
      <c r="T523" s="12"/>
      <c r="U523" s="11" t="s">
        <v>592</v>
      </c>
      <c r="V523" s="11" t="s">
        <v>594</v>
      </c>
      <c r="W523" s="11"/>
      <c r="X523" s="9" t="s">
        <v>1800</v>
      </c>
      <c r="Y523" s="9"/>
      <c r="Z523" s="8" t="s">
        <v>1801</v>
      </c>
      <c r="AA523" s="9"/>
      <c r="AB523" s="9" t="s">
        <v>2347</v>
      </c>
      <c r="AC523" s="46" t="s">
        <v>2351</v>
      </c>
    </row>
    <row r="524" spans="1:29" ht="33.75" customHeight="1">
      <c r="A524" s="9"/>
      <c r="B524" s="8" t="s">
        <v>1742</v>
      </c>
      <c r="C524" s="9">
        <v>380200</v>
      </c>
      <c r="D524" s="9">
        <v>540000</v>
      </c>
      <c r="E524" s="9" t="s">
        <v>2556</v>
      </c>
      <c r="F524" s="9">
        <v>54.754551817600003</v>
      </c>
      <c r="G524" s="9">
        <v>-2.30916537925</v>
      </c>
      <c r="H524" s="9" t="s">
        <v>1846</v>
      </c>
      <c r="I524" s="8" t="s">
        <v>1847</v>
      </c>
      <c r="J524" s="9">
        <v>466</v>
      </c>
      <c r="K524" s="11"/>
      <c r="L524" s="11" t="s">
        <v>2</v>
      </c>
      <c r="M524" s="8" t="s">
        <v>592</v>
      </c>
      <c r="N524" s="8" t="s">
        <v>592</v>
      </c>
      <c r="O524" s="11" t="s">
        <v>592</v>
      </c>
      <c r="P524" s="22">
        <v>0</v>
      </c>
      <c r="Q524" s="12"/>
      <c r="R524" s="11" t="s">
        <v>237</v>
      </c>
      <c r="S524" s="8">
        <v>15</v>
      </c>
      <c r="T524" s="12"/>
      <c r="U524" s="11" t="s">
        <v>592</v>
      </c>
      <c r="V524" s="11" t="s">
        <v>594</v>
      </c>
      <c r="W524" s="11"/>
      <c r="X524" s="9" t="s">
        <v>1800</v>
      </c>
      <c r="Y524" s="9"/>
      <c r="Z524" s="8" t="s">
        <v>1801</v>
      </c>
      <c r="AA524" s="9"/>
      <c r="AB524" s="9" t="s">
        <v>2347</v>
      </c>
      <c r="AC524" s="46" t="s">
        <v>2351</v>
      </c>
    </row>
    <row r="525" spans="1:29" ht="33.75" customHeight="1">
      <c r="A525" s="9"/>
      <c r="B525" s="8" t="s">
        <v>124</v>
      </c>
      <c r="C525" s="9">
        <v>369100</v>
      </c>
      <c r="D525" s="9">
        <v>579800</v>
      </c>
      <c r="E525" s="9" t="s">
        <v>2558</v>
      </c>
      <c r="F525" s="9">
        <v>55.111629417300001</v>
      </c>
      <c r="G525" s="9">
        <v>-2.4859212767200001</v>
      </c>
      <c r="H525" s="9" t="s">
        <v>1848</v>
      </c>
      <c r="I525" s="8" t="s">
        <v>1849</v>
      </c>
      <c r="J525" s="9">
        <v>320</v>
      </c>
      <c r="K525" s="11"/>
      <c r="L525" s="11" t="s">
        <v>2</v>
      </c>
      <c r="M525" s="8" t="s">
        <v>592</v>
      </c>
      <c r="N525" s="8" t="s">
        <v>592</v>
      </c>
      <c r="O525" s="11" t="s">
        <v>592</v>
      </c>
      <c r="P525" s="22">
        <v>0</v>
      </c>
      <c r="Q525" s="12"/>
      <c r="R525" s="11" t="s">
        <v>237</v>
      </c>
      <c r="S525" s="8">
        <v>53</v>
      </c>
      <c r="T525" s="12"/>
      <c r="U525" s="11">
        <v>600</v>
      </c>
      <c r="V525" s="11" t="s">
        <v>594</v>
      </c>
      <c r="W525" s="11"/>
      <c r="X525" s="9" t="s">
        <v>1850</v>
      </c>
      <c r="Y525" s="9"/>
      <c r="Z525" s="8" t="s">
        <v>354</v>
      </c>
      <c r="AA525" s="9"/>
      <c r="AB525" s="9" t="s">
        <v>2347</v>
      </c>
      <c r="AC525" s="46" t="s">
        <v>2351</v>
      </c>
    </row>
    <row r="526" spans="1:29" ht="33.75" customHeight="1">
      <c r="A526" s="9"/>
      <c r="B526" s="8" t="s">
        <v>124</v>
      </c>
      <c r="C526" s="9">
        <v>369200</v>
      </c>
      <c r="D526" s="9">
        <v>579300</v>
      </c>
      <c r="E526" s="9" t="s">
        <v>2558</v>
      </c>
      <c r="F526" s="9">
        <v>55.107142826599997</v>
      </c>
      <c r="G526" s="9">
        <v>-2.4842993852099999</v>
      </c>
      <c r="H526" s="9" t="s">
        <v>1851</v>
      </c>
      <c r="I526" s="8" t="s">
        <v>1852</v>
      </c>
      <c r="J526" s="9">
        <v>320</v>
      </c>
      <c r="K526" s="11"/>
      <c r="L526" s="11" t="s">
        <v>2</v>
      </c>
      <c r="M526" s="8" t="s">
        <v>592</v>
      </c>
      <c r="N526" s="8" t="s">
        <v>592</v>
      </c>
      <c r="O526" s="11" t="s">
        <v>592</v>
      </c>
      <c r="P526" s="22">
        <v>0</v>
      </c>
      <c r="Q526" s="12"/>
      <c r="R526" s="11" t="s">
        <v>237</v>
      </c>
      <c r="S526" s="8">
        <v>15</v>
      </c>
      <c r="T526" s="12"/>
      <c r="U526" s="11">
        <v>600</v>
      </c>
      <c r="V526" s="11" t="s">
        <v>594</v>
      </c>
      <c r="W526" s="11"/>
      <c r="X526" s="9" t="s">
        <v>1850</v>
      </c>
      <c r="Y526" s="9"/>
      <c r="Z526" s="8" t="s">
        <v>354</v>
      </c>
      <c r="AA526" s="9"/>
      <c r="AB526" s="9" t="s">
        <v>2347</v>
      </c>
      <c r="AC526" s="46" t="s">
        <v>2351</v>
      </c>
    </row>
    <row r="527" spans="1:29" ht="33.75" customHeight="1">
      <c r="A527" s="9"/>
      <c r="B527" s="8" t="s">
        <v>124</v>
      </c>
      <c r="C527" s="9">
        <v>399600</v>
      </c>
      <c r="D527" s="9">
        <v>626800</v>
      </c>
      <c r="E527" s="9" t="s">
        <v>2559</v>
      </c>
      <c r="F527" s="9">
        <v>55.534925753499998</v>
      </c>
      <c r="G527" s="9">
        <v>-2.00789463999</v>
      </c>
      <c r="H527" s="9" t="s">
        <v>1104</v>
      </c>
      <c r="I527" s="8" t="s">
        <v>1103</v>
      </c>
      <c r="J527" s="9">
        <v>61</v>
      </c>
      <c r="K527" s="11"/>
      <c r="L527" s="11" t="s">
        <v>2</v>
      </c>
      <c r="M527" s="8" t="s">
        <v>592</v>
      </c>
      <c r="N527" s="8" t="s">
        <v>592</v>
      </c>
      <c r="O527" s="11" t="s">
        <v>592</v>
      </c>
      <c r="P527" s="22">
        <v>0</v>
      </c>
      <c r="Q527" s="12"/>
      <c r="R527" s="11" t="s">
        <v>237</v>
      </c>
      <c r="S527" s="8">
        <v>14</v>
      </c>
      <c r="T527" s="12"/>
      <c r="U527" s="11" t="s">
        <v>592</v>
      </c>
      <c r="V527" s="11" t="s">
        <v>593</v>
      </c>
      <c r="W527" s="11"/>
      <c r="X527" s="9" t="s">
        <v>1850</v>
      </c>
      <c r="Y527" s="9"/>
      <c r="Z527" s="8" t="s">
        <v>354</v>
      </c>
      <c r="AA527" s="9"/>
      <c r="AB527" s="9" t="s">
        <v>2347</v>
      </c>
      <c r="AC527" s="46" t="s">
        <v>2351</v>
      </c>
    </row>
    <row r="528" spans="1:29" ht="33.75" customHeight="1">
      <c r="A528" s="9"/>
      <c r="B528" s="8" t="s">
        <v>241</v>
      </c>
      <c r="C528" s="9">
        <v>425100</v>
      </c>
      <c r="D528" s="9">
        <v>543900</v>
      </c>
      <c r="E528" s="9" t="s">
        <v>2560</v>
      </c>
      <c r="F528" s="9">
        <v>54.789371789800001</v>
      </c>
      <c r="G528" s="9">
        <v>-1.6111958287100001</v>
      </c>
      <c r="H528" s="9" t="s">
        <v>1853</v>
      </c>
      <c r="I528" s="8" t="s">
        <v>1011</v>
      </c>
      <c r="J528" s="9">
        <v>80</v>
      </c>
      <c r="K528" s="11"/>
      <c r="L528" s="11" t="s">
        <v>2</v>
      </c>
      <c r="M528" s="8">
        <v>4938</v>
      </c>
      <c r="N528" s="8">
        <v>907</v>
      </c>
      <c r="O528" s="11">
        <f>M528-N528</f>
        <v>4031</v>
      </c>
      <c r="P528" s="22">
        <v>9</v>
      </c>
      <c r="Q528" s="12">
        <f>P528/O528*1000</f>
        <v>2.2326966013396179</v>
      </c>
      <c r="R528" s="11" t="s">
        <v>237</v>
      </c>
      <c r="S528" s="8">
        <v>48</v>
      </c>
      <c r="T528" s="12">
        <f>S528/O528*1000</f>
        <v>11.907715207144628</v>
      </c>
      <c r="U528" s="11">
        <v>500</v>
      </c>
      <c r="V528" s="11" t="s">
        <v>594</v>
      </c>
      <c r="W528" s="11"/>
      <c r="X528" s="9" t="s">
        <v>1850</v>
      </c>
      <c r="Y528" s="9"/>
      <c r="Z528" s="8" t="s">
        <v>354</v>
      </c>
      <c r="AA528" s="9"/>
      <c r="AB528" s="9" t="s">
        <v>2347</v>
      </c>
      <c r="AC528" s="46" t="s">
        <v>2351</v>
      </c>
    </row>
    <row r="529" spans="1:29" ht="33.75" customHeight="1">
      <c r="A529" s="9"/>
      <c r="B529" s="8" t="s">
        <v>124</v>
      </c>
      <c r="C529" s="9">
        <v>380200</v>
      </c>
      <c r="D529" s="9">
        <v>567000</v>
      </c>
      <c r="E529" s="9" t="s">
        <v>2561</v>
      </c>
      <c r="F529" s="9">
        <v>54.997179409600001</v>
      </c>
      <c r="G529" s="9">
        <v>-2.3110295698200001</v>
      </c>
      <c r="H529" s="9" t="s">
        <v>1854</v>
      </c>
      <c r="I529" s="8" t="s">
        <v>1855</v>
      </c>
      <c r="J529" s="9">
        <v>220</v>
      </c>
      <c r="K529" s="11"/>
      <c r="L529" s="11" t="s">
        <v>2</v>
      </c>
      <c r="M529" s="8" t="s">
        <v>592</v>
      </c>
      <c r="N529" s="8" t="s">
        <v>592</v>
      </c>
      <c r="O529" s="11" t="s">
        <v>592</v>
      </c>
      <c r="P529" s="22">
        <v>0</v>
      </c>
      <c r="Q529" s="12"/>
      <c r="R529" s="11" t="s">
        <v>237</v>
      </c>
      <c r="S529" s="8">
        <v>27</v>
      </c>
      <c r="T529" s="12"/>
      <c r="U529" s="11" t="s">
        <v>592</v>
      </c>
      <c r="V529" s="11" t="s">
        <v>593</v>
      </c>
      <c r="W529" s="11"/>
      <c r="X529" s="9" t="s">
        <v>1850</v>
      </c>
      <c r="Y529" s="9"/>
      <c r="Z529" s="8" t="s">
        <v>354</v>
      </c>
      <c r="AA529" s="9"/>
      <c r="AB529" s="9" t="s">
        <v>2347</v>
      </c>
      <c r="AC529" s="46" t="s">
        <v>2351</v>
      </c>
    </row>
    <row r="530" spans="1:29" ht="33.75" customHeight="1">
      <c r="A530" s="9"/>
      <c r="B530" s="8" t="s">
        <v>124</v>
      </c>
      <c r="C530" s="9">
        <v>380000</v>
      </c>
      <c r="D530" s="9">
        <v>567100</v>
      </c>
      <c r="E530" s="9" t="s">
        <v>2561</v>
      </c>
      <c r="F530" s="9">
        <v>54.9980699734</v>
      </c>
      <c r="G530" s="9">
        <v>-2.3141627743500002</v>
      </c>
      <c r="H530" s="9" t="s">
        <v>1856</v>
      </c>
      <c r="I530" s="8" t="s">
        <v>1857</v>
      </c>
      <c r="J530" s="9">
        <v>220</v>
      </c>
      <c r="K530" s="11"/>
      <c r="L530" s="11" t="s">
        <v>2</v>
      </c>
      <c r="M530" s="8" t="s">
        <v>592</v>
      </c>
      <c r="N530" s="8" t="s">
        <v>592</v>
      </c>
      <c r="O530" s="11" t="s">
        <v>592</v>
      </c>
      <c r="P530" s="22">
        <v>0</v>
      </c>
      <c r="Q530" s="12"/>
      <c r="R530" s="11" t="s">
        <v>237</v>
      </c>
      <c r="S530" s="8">
        <v>17</v>
      </c>
      <c r="T530" s="12"/>
      <c r="U530" s="11" t="s">
        <v>592</v>
      </c>
      <c r="V530" s="11" t="s">
        <v>593</v>
      </c>
      <c r="W530" s="11"/>
      <c r="X530" s="9" t="s">
        <v>1850</v>
      </c>
      <c r="Y530" s="9"/>
      <c r="Z530" s="8" t="s">
        <v>354</v>
      </c>
      <c r="AA530" s="9"/>
      <c r="AB530" s="9" t="s">
        <v>2347</v>
      </c>
      <c r="AC530" s="46" t="s">
        <v>2351</v>
      </c>
    </row>
    <row r="531" spans="1:29" ht="33.75" customHeight="1">
      <c r="A531" s="9"/>
      <c r="B531" s="8" t="s">
        <v>1754</v>
      </c>
      <c r="C531" s="9">
        <v>401000</v>
      </c>
      <c r="D531" s="9">
        <v>535000</v>
      </c>
      <c r="E531" s="9" t="s">
        <v>2562</v>
      </c>
      <c r="F531" s="9">
        <v>54.710012941400002</v>
      </c>
      <c r="G531" s="9">
        <v>-1.98599957663</v>
      </c>
      <c r="H531" s="9" t="s">
        <v>1858</v>
      </c>
      <c r="I531" s="8" t="s">
        <v>1755</v>
      </c>
      <c r="J531" s="9">
        <v>250</v>
      </c>
      <c r="K531" s="11"/>
      <c r="L531" s="11" t="s">
        <v>2</v>
      </c>
      <c r="M531" s="8">
        <v>1730</v>
      </c>
      <c r="N531" s="8">
        <v>170</v>
      </c>
      <c r="O531" s="11">
        <f>M531-N531</f>
        <v>1560</v>
      </c>
      <c r="P531" s="22">
        <v>3</v>
      </c>
      <c r="Q531" s="12">
        <f>P531/O531*1000</f>
        <v>1.9230769230769231</v>
      </c>
      <c r="R531" s="11" t="s">
        <v>237</v>
      </c>
      <c r="S531" s="8">
        <v>16</v>
      </c>
      <c r="T531" s="12">
        <f>S531/O531*1000</f>
        <v>10.256410256410257</v>
      </c>
      <c r="U531" s="11">
        <v>500</v>
      </c>
      <c r="V531" s="11" t="s">
        <v>594</v>
      </c>
      <c r="W531" s="11"/>
      <c r="X531" s="9" t="s">
        <v>1338</v>
      </c>
      <c r="Y531" s="9"/>
      <c r="Z531" s="8" t="s">
        <v>1859</v>
      </c>
      <c r="AA531" s="9"/>
      <c r="AB531" s="9" t="s">
        <v>2347</v>
      </c>
      <c r="AC531" s="46" t="s">
        <v>2351</v>
      </c>
    </row>
    <row r="532" spans="1:29" ht="33.75" customHeight="1">
      <c r="A532" s="9"/>
      <c r="B532" s="8" t="s">
        <v>1754</v>
      </c>
      <c r="C532" s="9">
        <v>398200</v>
      </c>
      <c r="D532" s="9">
        <v>543700</v>
      </c>
      <c r="E532" s="9" t="s">
        <v>2562</v>
      </c>
      <c r="F532" s="9">
        <v>54.788192859799999</v>
      </c>
      <c r="G532" s="9">
        <v>-2.02951424329</v>
      </c>
      <c r="H532" s="9" t="s">
        <v>1860</v>
      </c>
      <c r="I532" s="8" t="s">
        <v>1012</v>
      </c>
      <c r="J532" s="9">
        <v>370</v>
      </c>
      <c r="K532" s="11"/>
      <c r="L532" s="11" t="s">
        <v>2</v>
      </c>
      <c r="M532" s="8">
        <v>2060</v>
      </c>
      <c r="N532" s="8">
        <v>840</v>
      </c>
      <c r="O532" s="11">
        <f>M532-N532</f>
        <v>1220</v>
      </c>
      <c r="P532" s="22">
        <v>2</v>
      </c>
      <c r="Q532" s="12">
        <f>P532/O532*1000</f>
        <v>1.639344262295082</v>
      </c>
      <c r="R532" s="11" t="s">
        <v>237</v>
      </c>
      <c r="S532" s="8">
        <v>7</v>
      </c>
      <c r="T532" s="12">
        <f>S532/O532*1000</f>
        <v>5.7377049180327866</v>
      </c>
      <c r="U532" s="11">
        <v>500</v>
      </c>
      <c r="V532" s="11" t="s">
        <v>594</v>
      </c>
      <c r="W532" s="11"/>
      <c r="X532" s="9" t="s">
        <v>1338</v>
      </c>
      <c r="Y532" s="9"/>
      <c r="Z532" s="8" t="s">
        <v>1859</v>
      </c>
      <c r="AA532" s="9"/>
      <c r="AB532" s="9" t="s">
        <v>2347</v>
      </c>
      <c r="AC532" s="46" t="s">
        <v>2351</v>
      </c>
    </row>
    <row r="533" spans="1:29" ht="33.75" customHeight="1">
      <c r="A533" s="9"/>
      <c r="B533" s="8" t="s">
        <v>1742</v>
      </c>
      <c r="C533" s="9">
        <v>401841</v>
      </c>
      <c r="D533" s="9">
        <v>526051</v>
      </c>
      <c r="E533" s="9" t="s">
        <v>2563</v>
      </c>
      <c r="F533" s="9">
        <v>54.629589270700002</v>
      </c>
      <c r="G533" s="9">
        <v>-1.9729997288000001</v>
      </c>
      <c r="H533" s="9" t="s">
        <v>1861</v>
      </c>
      <c r="I533" s="8" t="s">
        <v>1862</v>
      </c>
      <c r="J533" s="9">
        <v>427</v>
      </c>
      <c r="K533" s="11"/>
      <c r="L533" s="11" t="s">
        <v>2</v>
      </c>
      <c r="M533" s="8">
        <v>1290</v>
      </c>
      <c r="N533" s="8">
        <v>210</v>
      </c>
      <c r="O533" s="11">
        <f t="shared" ref="O533:O534" si="9">M533-N533</f>
        <v>1080</v>
      </c>
      <c r="P533" s="22">
        <v>10</v>
      </c>
      <c r="Q533" s="12">
        <f t="shared" ref="Q533:Q534" si="10">P533/O533*1000</f>
        <v>9.2592592592592595</v>
      </c>
      <c r="R533" s="11" t="s">
        <v>237</v>
      </c>
      <c r="S533" s="8">
        <v>3</v>
      </c>
      <c r="T533" s="12">
        <f>S533/O533*1000</f>
        <v>2.7777777777777777</v>
      </c>
      <c r="U533" s="11">
        <v>400</v>
      </c>
      <c r="V533" s="11" t="s">
        <v>594</v>
      </c>
      <c r="W533" s="11"/>
      <c r="X533" s="9" t="s">
        <v>1800</v>
      </c>
      <c r="Y533" s="9"/>
      <c r="Z533" s="8" t="s">
        <v>1863</v>
      </c>
      <c r="AA533" s="9"/>
      <c r="AB533" s="9" t="s">
        <v>2347</v>
      </c>
      <c r="AC533" s="46" t="s">
        <v>2351</v>
      </c>
    </row>
    <row r="534" spans="1:29" ht="33.75" customHeight="1">
      <c r="A534" s="9"/>
      <c r="B534" s="8" t="s">
        <v>1742</v>
      </c>
      <c r="C534" s="9">
        <v>376208</v>
      </c>
      <c r="D534" s="9">
        <v>533091</v>
      </c>
      <c r="E534" s="9" t="s">
        <v>2563</v>
      </c>
      <c r="F534" s="9">
        <v>54.692290853199999</v>
      </c>
      <c r="G534" s="9">
        <v>-2.3706226467599998</v>
      </c>
      <c r="H534" s="9" t="s">
        <v>1864</v>
      </c>
      <c r="I534" s="8" t="s">
        <v>166</v>
      </c>
      <c r="J534" s="9">
        <v>550</v>
      </c>
      <c r="K534" s="11"/>
      <c r="L534" s="11" t="s">
        <v>2</v>
      </c>
      <c r="M534" s="8">
        <v>2780</v>
      </c>
      <c r="N534" s="8">
        <v>310</v>
      </c>
      <c r="O534" s="11">
        <f t="shared" si="9"/>
        <v>2470</v>
      </c>
      <c r="P534" s="22">
        <v>4</v>
      </c>
      <c r="Q534" s="12">
        <f t="shared" si="10"/>
        <v>1.6194331983805668</v>
      </c>
      <c r="R534" s="11" t="s">
        <v>237</v>
      </c>
      <c r="S534" s="8">
        <v>3</v>
      </c>
      <c r="T534" s="12">
        <f>S534/O534*1000</f>
        <v>1.2145748987854252</v>
      </c>
      <c r="U534" s="11">
        <v>400</v>
      </c>
      <c r="V534" s="11" t="s">
        <v>594</v>
      </c>
      <c r="W534" s="11"/>
      <c r="X534" s="9" t="s">
        <v>1800</v>
      </c>
      <c r="Y534" s="9"/>
      <c r="Z534" s="8" t="s">
        <v>1863</v>
      </c>
      <c r="AA534" s="9"/>
      <c r="AB534" s="9" t="s">
        <v>2347</v>
      </c>
      <c r="AC534" s="46" t="s">
        <v>2351</v>
      </c>
    </row>
    <row r="535" spans="1:29" ht="33.75" customHeight="1">
      <c r="A535" s="9"/>
      <c r="B535" s="8" t="s">
        <v>1742</v>
      </c>
      <c r="C535" s="9">
        <v>369900</v>
      </c>
      <c r="D535" s="9">
        <v>534000</v>
      </c>
      <c r="E535" s="9" t="s">
        <v>2564</v>
      </c>
      <c r="F535" s="9">
        <v>54.700120454100002</v>
      </c>
      <c r="G535" s="9">
        <v>-2.4685743496599999</v>
      </c>
      <c r="H535" s="9" t="s">
        <v>1865</v>
      </c>
      <c r="I535" s="8" t="s">
        <v>1866</v>
      </c>
      <c r="J535" s="9">
        <v>774</v>
      </c>
      <c r="K535" s="11"/>
      <c r="L535" s="11" t="s">
        <v>2</v>
      </c>
      <c r="M535" s="8" t="s">
        <v>592</v>
      </c>
      <c r="N535" s="8" t="s">
        <v>592</v>
      </c>
      <c r="O535" s="11" t="s">
        <v>592</v>
      </c>
      <c r="P535" s="22">
        <v>0</v>
      </c>
      <c r="Q535" s="12"/>
      <c r="R535" s="11" t="s">
        <v>237</v>
      </c>
      <c r="S535" s="8">
        <v>33</v>
      </c>
      <c r="T535" s="12"/>
      <c r="U535" s="11" t="s">
        <v>592</v>
      </c>
      <c r="V535" s="11" t="s">
        <v>594</v>
      </c>
      <c r="W535" s="11"/>
      <c r="X535" s="9" t="s">
        <v>1338</v>
      </c>
      <c r="Y535" s="9"/>
      <c r="Z535" s="8" t="s">
        <v>1867</v>
      </c>
      <c r="AA535" s="9"/>
      <c r="AB535" s="9" t="s">
        <v>2347</v>
      </c>
      <c r="AC535" s="46" t="s">
        <v>2351</v>
      </c>
    </row>
    <row r="536" spans="1:29" ht="33.75" customHeight="1">
      <c r="A536" s="9"/>
      <c r="B536" s="8" t="s">
        <v>1742</v>
      </c>
      <c r="C536" s="9">
        <v>369900</v>
      </c>
      <c r="D536" s="9">
        <v>534010</v>
      </c>
      <c r="E536" s="9" t="s">
        <v>2564</v>
      </c>
      <c r="F536" s="9">
        <v>54.700120454100002</v>
      </c>
      <c r="G536" s="9">
        <v>-2.4685743496599999</v>
      </c>
      <c r="H536" s="9" t="s">
        <v>1868</v>
      </c>
      <c r="I536" s="8" t="s">
        <v>1869</v>
      </c>
      <c r="J536" s="9">
        <v>780</v>
      </c>
      <c r="K536" s="11"/>
      <c r="L536" s="11" t="s">
        <v>2</v>
      </c>
      <c r="M536" s="8" t="s">
        <v>592</v>
      </c>
      <c r="N536" s="8" t="s">
        <v>592</v>
      </c>
      <c r="O536" s="11" t="s">
        <v>592</v>
      </c>
      <c r="P536" s="22">
        <v>0</v>
      </c>
      <c r="Q536" s="12"/>
      <c r="R536" s="11" t="s">
        <v>237</v>
      </c>
      <c r="S536" s="8">
        <v>19</v>
      </c>
      <c r="T536" s="12"/>
      <c r="U536" s="11" t="s">
        <v>592</v>
      </c>
      <c r="V536" s="11" t="s">
        <v>594</v>
      </c>
      <c r="W536" s="11"/>
      <c r="X536" s="9" t="s">
        <v>1338</v>
      </c>
      <c r="Y536" s="9"/>
      <c r="Z536" s="8" t="s">
        <v>1867</v>
      </c>
      <c r="AA536" s="9"/>
      <c r="AB536" s="9" t="s">
        <v>2347</v>
      </c>
      <c r="AC536" s="46" t="s">
        <v>2351</v>
      </c>
    </row>
    <row r="537" spans="1:29" ht="33.75" customHeight="1">
      <c r="A537" s="9"/>
      <c r="B537" s="8" t="s">
        <v>1742</v>
      </c>
      <c r="C537" s="9">
        <v>368900</v>
      </c>
      <c r="D537" s="9">
        <v>534500</v>
      </c>
      <c r="E537" s="9" t="s">
        <v>2564</v>
      </c>
      <c r="F537" s="9">
        <v>54.7045525853</v>
      </c>
      <c r="G537" s="9">
        <v>-2.4841440447899998</v>
      </c>
      <c r="H537" s="9" t="s">
        <v>1870</v>
      </c>
      <c r="I537" s="8" t="s">
        <v>1765</v>
      </c>
      <c r="J537" s="9">
        <v>863</v>
      </c>
      <c r="K537" s="11"/>
      <c r="L537" s="11" t="s">
        <v>2</v>
      </c>
      <c r="M537" s="8" t="s">
        <v>592</v>
      </c>
      <c r="N537" s="8" t="s">
        <v>592</v>
      </c>
      <c r="O537" s="11" t="s">
        <v>592</v>
      </c>
      <c r="P537" s="22">
        <v>0</v>
      </c>
      <c r="Q537" s="12"/>
      <c r="R537" s="11" t="s">
        <v>237</v>
      </c>
      <c r="S537" s="8">
        <v>17</v>
      </c>
      <c r="T537" s="12"/>
      <c r="U537" s="11" t="s">
        <v>592</v>
      </c>
      <c r="V537" s="11" t="s">
        <v>594</v>
      </c>
      <c r="W537" s="11"/>
      <c r="X537" s="9" t="s">
        <v>1338</v>
      </c>
      <c r="Y537" s="9"/>
      <c r="Z537" s="8" t="s">
        <v>1867</v>
      </c>
      <c r="AA537" s="9"/>
      <c r="AB537" s="9" t="s">
        <v>2347</v>
      </c>
      <c r="AC537" s="46" t="s">
        <v>2351</v>
      </c>
    </row>
    <row r="538" spans="1:29" ht="33.75" customHeight="1">
      <c r="A538" s="9"/>
      <c r="B538" s="8" t="s">
        <v>1742</v>
      </c>
      <c r="C538" s="9">
        <v>369200</v>
      </c>
      <c r="D538" s="9">
        <v>534100</v>
      </c>
      <c r="E538" s="9" t="s">
        <v>2564</v>
      </c>
      <c r="F538" s="9">
        <v>54.700976586300001</v>
      </c>
      <c r="G538" s="9">
        <v>-2.4794462716000001</v>
      </c>
      <c r="H538" s="9" t="s">
        <v>1871</v>
      </c>
      <c r="I538" s="8" t="s">
        <v>1766</v>
      </c>
      <c r="J538" s="9">
        <v>874</v>
      </c>
      <c r="K538" s="11"/>
      <c r="L538" s="11" t="s">
        <v>2</v>
      </c>
      <c r="M538" s="8" t="s">
        <v>592</v>
      </c>
      <c r="N538" s="8" t="s">
        <v>592</v>
      </c>
      <c r="O538" s="11" t="s">
        <v>592</v>
      </c>
      <c r="P538" s="22">
        <v>0</v>
      </c>
      <c r="Q538" s="12"/>
      <c r="R538" s="11" t="s">
        <v>237</v>
      </c>
      <c r="S538" s="8">
        <v>21</v>
      </c>
      <c r="T538" s="12"/>
      <c r="U538" s="11" t="s">
        <v>592</v>
      </c>
      <c r="V538" s="11" t="s">
        <v>594</v>
      </c>
      <c r="W538" s="11"/>
      <c r="X538" s="9" t="s">
        <v>1338</v>
      </c>
      <c r="Y538" s="9"/>
      <c r="Z538" s="8" t="s">
        <v>1867</v>
      </c>
      <c r="AA538" s="9"/>
      <c r="AB538" s="9" t="s">
        <v>2347</v>
      </c>
      <c r="AC538" s="46" t="s">
        <v>2351</v>
      </c>
    </row>
    <row r="539" spans="1:29" ht="33.75" customHeight="1">
      <c r="A539" s="9"/>
      <c r="B539" s="8" t="s">
        <v>1742</v>
      </c>
      <c r="C539" s="9">
        <v>368600</v>
      </c>
      <c r="D539" s="9">
        <v>534300</v>
      </c>
      <c r="E539" s="9" t="s">
        <v>2564</v>
      </c>
      <c r="F539" s="9">
        <v>54.702736639199998</v>
      </c>
      <c r="G539" s="9">
        <v>-2.48877777531</v>
      </c>
      <c r="H539" s="9" t="s">
        <v>1872</v>
      </c>
      <c r="I539" s="8" t="s">
        <v>1873</v>
      </c>
      <c r="J539" s="9">
        <v>880</v>
      </c>
      <c r="K539" s="11"/>
      <c r="L539" s="11" t="s">
        <v>2</v>
      </c>
      <c r="M539" s="8" t="s">
        <v>592</v>
      </c>
      <c r="N539" s="8" t="s">
        <v>592</v>
      </c>
      <c r="O539" s="11" t="s">
        <v>592</v>
      </c>
      <c r="P539" s="22">
        <v>0</v>
      </c>
      <c r="Q539" s="12"/>
      <c r="R539" s="11" t="s">
        <v>237</v>
      </c>
      <c r="S539" s="8">
        <v>12</v>
      </c>
      <c r="T539" s="12"/>
      <c r="U539" s="11" t="s">
        <v>592</v>
      </c>
      <c r="V539" s="11" t="s">
        <v>594</v>
      </c>
      <c r="W539" s="11"/>
      <c r="X539" s="9" t="s">
        <v>1338</v>
      </c>
      <c r="Y539" s="9"/>
      <c r="Z539" s="8" t="s">
        <v>1867</v>
      </c>
      <c r="AA539" s="9"/>
      <c r="AB539" s="9" t="s">
        <v>2347</v>
      </c>
      <c r="AC539" s="46" t="s">
        <v>2351</v>
      </c>
    </row>
    <row r="540" spans="1:29" ht="33.75" customHeight="1">
      <c r="A540" s="9"/>
      <c r="B540" s="8" t="s">
        <v>1742</v>
      </c>
      <c r="C540" s="9">
        <v>368800</v>
      </c>
      <c r="D540" s="9">
        <v>534400</v>
      </c>
      <c r="E540" s="9" t="s">
        <v>2564</v>
      </c>
      <c r="F540" s="9">
        <v>54.703647747200002</v>
      </c>
      <c r="G540" s="9">
        <v>-2.4856850870299998</v>
      </c>
      <c r="H540" s="9" t="s">
        <v>1874</v>
      </c>
      <c r="I540" s="8" t="s">
        <v>1875</v>
      </c>
      <c r="J540" s="9">
        <v>890</v>
      </c>
      <c r="K540" s="11"/>
      <c r="L540" s="11" t="s">
        <v>2</v>
      </c>
      <c r="M540" s="8" t="s">
        <v>592</v>
      </c>
      <c r="N540" s="8" t="s">
        <v>592</v>
      </c>
      <c r="O540" s="11" t="s">
        <v>592</v>
      </c>
      <c r="P540" s="22">
        <v>0</v>
      </c>
      <c r="Q540" s="12"/>
      <c r="R540" s="11" t="s">
        <v>237</v>
      </c>
      <c r="S540" s="8">
        <v>18</v>
      </c>
      <c r="T540" s="12"/>
      <c r="U540" s="11" t="s">
        <v>592</v>
      </c>
      <c r="V540" s="11" t="s">
        <v>594</v>
      </c>
      <c r="W540" s="11"/>
      <c r="X540" s="9" t="s">
        <v>1338</v>
      </c>
      <c r="Y540" s="9"/>
      <c r="Z540" s="8" t="s">
        <v>1867</v>
      </c>
      <c r="AA540" s="9"/>
      <c r="AB540" s="9" t="s">
        <v>2347</v>
      </c>
      <c r="AC540" s="46" t="s">
        <v>2351</v>
      </c>
    </row>
    <row r="541" spans="1:29" ht="33.75" customHeight="1">
      <c r="A541" s="9"/>
      <c r="B541" s="8" t="s">
        <v>1742</v>
      </c>
      <c r="C541" s="9">
        <v>376300</v>
      </c>
      <c r="D541" s="9">
        <v>533100</v>
      </c>
      <c r="E541" s="9" t="s">
        <v>1876</v>
      </c>
      <c r="F541" s="9">
        <v>54.692376090000003</v>
      </c>
      <c r="G541" s="9">
        <v>-2.3691961486799999</v>
      </c>
      <c r="H541" s="9" t="s">
        <v>294</v>
      </c>
      <c r="I541" s="8" t="s">
        <v>1877</v>
      </c>
      <c r="J541" s="9">
        <v>549</v>
      </c>
      <c r="K541" s="11"/>
      <c r="L541" s="11" t="s">
        <v>2</v>
      </c>
      <c r="M541" s="8" t="s">
        <v>592</v>
      </c>
      <c r="N541" s="8" t="s">
        <v>592</v>
      </c>
      <c r="O541" s="11" t="s">
        <v>592</v>
      </c>
      <c r="P541" s="22">
        <v>0</v>
      </c>
      <c r="Q541" s="12"/>
      <c r="R541" s="11" t="s">
        <v>237</v>
      </c>
      <c r="S541" s="8">
        <v>40</v>
      </c>
      <c r="T541" s="12"/>
      <c r="U541" s="11" t="s">
        <v>592</v>
      </c>
      <c r="V541" s="11" t="s">
        <v>593</v>
      </c>
      <c r="W541" s="11"/>
      <c r="X541" s="9"/>
      <c r="Y541" s="9"/>
      <c r="Z541" s="8" t="s">
        <v>1878</v>
      </c>
      <c r="AA541" s="9"/>
      <c r="AB541" s="9" t="s">
        <v>2347</v>
      </c>
      <c r="AC541" s="46" t="s">
        <v>2351</v>
      </c>
    </row>
    <row r="542" spans="1:29" ht="33.75" customHeight="1">
      <c r="A542" s="9"/>
      <c r="B542" s="8" t="s">
        <v>1742</v>
      </c>
      <c r="C542" s="9">
        <v>376900</v>
      </c>
      <c r="D542" s="9">
        <v>532800</v>
      </c>
      <c r="E542" s="9" t="s">
        <v>1876</v>
      </c>
      <c r="F542" s="9">
        <v>54.689708174700002</v>
      </c>
      <c r="G542" s="9">
        <v>-2.35986420924</v>
      </c>
      <c r="H542" s="9" t="s">
        <v>1879</v>
      </c>
      <c r="I542" s="8" t="s">
        <v>1880</v>
      </c>
      <c r="J542" s="9">
        <v>549</v>
      </c>
      <c r="K542" s="11"/>
      <c r="L542" s="11" t="s">
        <v>2</v>
      </c>
      <c r="M542" s="8" t="s">
        <v>592</v>
      </c>
      <c r="N542" s="8" t="s">
        <v>592</v>
      </c>
      <c r="O542" s="11" t="s">
        <v>592</v>
      </c>
      <c r="P542" s="22">
        <v>0</v>
      </c>
      <c r="Q542" s="12"/>
      <c r="R542" s="11" t="s">
        <v>237</v>
      </c>
      <c r="S542" s="8">
        <v>15</v>
      </c>
      <c r="T542" s="12"/>
      <c r="U542" s="11" t="s">
        <v>592</v>
      </c>
      <c r="V542" s="11" t="s">
        <v>593</v>
      </c>
      <c r="W542" s="11"/>
      <c r="X542" s="9"/>
      <c r="Y542" s="9"/>
      <c r="Z542" s="8" t="s">
        <v>1878</v>
      </c>
      <c r="AA542" s="9"/>
      <c r="AB542" s="9" t="s">
        <v>2347</v>
      </c>
      <c r="AC542" s="46" t="s">
        <v>2351</v>
      </c>
    </row>
    <row r="543" spans="1:29" ht="33.75" customHeight="1">
      <c r="A543" s="9"/>
      <c r="B543" s="8" t="s">
        <v>1742</v>
      </c>
      <c r="C543" s="9">
        <v>372700</v>
      </c>
      <c r="D543" s="9">
        <v>573100</v>
      </c>
      <c r="E543" s="9" t="s">
        <v>1876</v>
      </c>
      <c r="F543" s="9">
        <v>55.051636785100001</v>
      </c>
      <c r="G543" s="9">
        <v>-2.4288451759499998</v>
      </c>
      <c r="H543" s="9" t="s">
        <v>1881</v>
      </c>
      <c r="I543" s="8" t="s">
        <v>1882</v>
      </c>
      <c r="J543" s="9">
        <v>686</v>
      </c>
      <c r="K543" s="11"/>
      <c r="L543" s="11" t="s">
        <v>2</v>
      </c>
      <c r="M543" s="8" t="s">
        <v>592</v>
      </c>
      <c r="N543" s="8" t="s">
        <v>592</v>
      </c>
      <c r="O543" s="11" t="s">
        <v>592</v>
      </c>
      <c r="P543" s="22">
        <v>0</v>
      </c>
      <c r="Q543" s="12"/>
      <c r="R543" s="11" t="s">
        <v>237</v>
      </c>
      <c r="S543" s="8">
        <v>24</v>
      </c>
      <c r="T543" s="12"/>
      <c r="U543" s="11" t="s">
        <v>592</v>
      </c>
      <c r="V543" s="11" t="s">
        <v>593</v>
      </c>
      <c r="W543" s="11"/>
      <c r="X543" s="9"/>
      <c r="Y543" s="9"/>
      <c r="Z543" s="8" t="s">
        <v>1878</v>
      </c>
      <c r="AA543" s="9"/>
      <c r="AB543" s="9" t="s">
        <v>2347</v>
      </c>
      <c r="AC543" s="46" t="s">
        <v>2351</v>
      </c>
    </row>
    <row r="544" spans="1:29" ht="33.75" customHeight="1">
      <c r="A544" s="9">
        <v>46</v>
      </c>
      <c r="B544" s="8" t="s">
        <v>109</v>
      </c>
      <c r="C544" s="9">
        <v>333800</v>
      </c>
      <c r="D544" s="9">
        <v>482200</v>
      </c>
      <c r="E544" s="9" t="s">
        <v>1883</v>
      </c>
      <c r="F544" s="9"/>
      <c r="G544" s="9"/>
      <c r="H544" s="9" t="s">
        <v>1884</v>
      </c>
      <c r="I544" s="8" t="s">
        <v>1885</v>
      </c>
      <c r="J544" s="9">
        <v>15</v>
      </c>
      <c r="K544" s="11" t="s">
        <v>43</v>
      </c>
      <c r="L544" s="11" t="s">
        <v>2</v>
      </c>
      <c r="M544" s="8">
        <v>6680</v>
      </c>
      <c r="N544" s="8">
        <v>5765</v>
      </c>
      <c r="O544" s="11">
        <f>M544-N544</f>
        <v>915</v>
      </c>
      <c r="P544" s="22">
        <v>5</v>
      </c>
      <c r="Q544" s="12">
        <f>P544/O544*1000</f>
        <v>5.4644808743169397</v>
      </c>
      <c r="R544" s="11" t="s">
        <v>237</v>
      </c>
      <c r="S544" s="8">
        <v>16</v>
      </c>
      <c r="T544" s="12">
        <f>S544/O544*1000</f>
        <v>17.486338797814209</v>
      </c>
      <c r="U544" s="11">
        <v>409</v>
      </c>
      <c r="V544" s="11" t="s">
        <v>594</v>
      </c>
      <c r="W544" s="11" t="s">
        <v>1886</v>
      </c>
      <c r="X544" s="9" t="s">
        <v>180</v>
      </c>
      <c r="Y544" s="9" t="s">
        <v>100</v>
      </c>
      <c r="Z544" s="8" t="s">
        <v>1887</v>
      </c>
      <c r="AA544" s="9"/>
      <c r="AB544" s="9" t="s">
        <v>2347</v>
      </c>
      <c r="AC544" s="46" t="s">
        <v>2351</v>
      </c>
    </row>
    <row r="545" spans="1:29" ht="33.75" customHeight="1">
      <c r="A545" s="9"/>
      <c r="B545" s="8" t="s">
        <v>109</v>
      </c>
      <c r="C545" s="9">
        <v>336700</v>
      </c>
      <c r="D545" s="9">
        <v>500600</v>
      </c>
      <c r="E545" s="9" t="s">
        <v>1888</v>
      </c>
      <c r="F545" s="9"/>
      <c r="G545" s="9"/>
      <c r="H545" s="9" t="s">
        <v>1889</v>
      </c>
      <c r="I545" s="8" t="s">
        <v>1890</v>
      </c>
      <c r="J545" s="9">
        <v>50</v>
      </c>
      <c r="K545" s="11" t="s">
        <v>1891</v>
      </c>
      <c r="L545" s="11" t="s">
        <v>2</v>
      </c>
      <c r="M545" s="8" t="s">
        <v>592</v>
      </c>
      <c r="N545" s="8" t="s">
        <v>592</v>
      </c>
      <c r="O545" s="11" t="s">
        <v>592</v>
      </c>
      <c r="P545" s="22">
        <v>0</v>
      </c>
      <c r="Q545" s="12"/>
      <c r="R545" s="11" t="s">
        <v>599</v>
      </c>
      <c r="S545" s="8">
        <v>8</v>
      </c>
      <c r="T545" s="12"/>
      <c r="U545" s="11">
        <v>500</v>
      </c>
      <c r="V545" s="11" t="s">
        <v>593</v>
      </c>
      <c r="W545" s="11"/>
      <c r="X545" s="9"/>
      <c r="Y545" s="9"/>
      <c r="Z545" s="8" t="s">
        <v>456</v>
      </c>
      <c r="AA545" s="9"/>
      <c r="AB545" s="9" t="s">
        <v>2347</v>
      </c>
      <c r="AC545" s="46" t="s">
        <v>2351</v>
      </c>
    </row>
    <row r="546" spans="1:29" ht="33.75" customHeight="1">
      <c r="A546" s="9"/>
      <c r="B546" s="8" t="s">
        <v>109</v>
      </c>
      <c r="C546" s="9">
        <v>310200</v>
      </c>
      <c r="D546" s="9">
        <v>515200</v>
      </c>
      <c r="E546" s="9" t="s">
        <v>1888</v>
      </c>
      <c r="F546" s="9"/>
      <c r="G546" s="9"/>
      <c r="H546" s="9" t="s">
        <v>1892</v>
      </c>
      <c r="I546" s="8" t="s">
        <v>1893</v>
      </c>
      <c r="J546" s="9">
        <v>120</v>
      </c>
      <c r="K546" s="11" t="s">
        <v>1891</v>
      </c>
      <c r="L546" s="11" t="s">
        <v>2</v>
      </c>
      <c r="M546" s="8" t="s">
        <v>592</v>
      </c>
      <c r="N546" s="8" t="s">
        <v>592</v>
      </c>
      <c r="O546" s="11" t="s">
        <v>592</v>
      </c>
      <c r="P546" s="22">
        <v>0</v>
      </c>
      <c r="Q546" s="12"/>
      <c r="R546" s="11" t="s">
        <v>599</v>
      </c>
      <c r="S546" s="8">
        <v>7</v>
      </c>
      <c r="T546" s="12"/>
      <c r="U546" s="11">
        <v>500</v>
      </c>
      <c r="V546" s="11" t="s">
        <v>593</v>
      </c>
      <c r="W546" s="11"/>
      <c r="X546" s="9"/>
      <c r="Y546" s="9"/>
      <c r="Z546" s="8" t="s">
        <v>456</v>
      </c>
      <c r="AA546" s="9"/>
      <c r="AB546" s="9" t="s">
        <v>2347</v>
      </c>
      <c r="AC546" s="46" t="s">
        <v>2351</v>
      </c>
    </row>
    <row r="547" spans="1:29" ht="33.75" customHeight="1">
      <c r="A547" s="9"/>
      <c r="B547" s="8" t="s">
        <v>109</v>
      </c>
      <c r="C547" s="9">
        <v>315900</v>
      </c>
      <c r="D547" s="9">
        <v>505800</v>
      </c>
      <c r="E547" s="9" t="s">
        <v>1888</v>
      </c>
      <c r="F547" s="9"/>
      <c r="G547" s="9"/>
      <c r="H547" s="9" t="s">
        <v>1894</v>
      </c>
      <c r="I547" s="8" t="s">
        <v>1895</v>
      </c>
      <c r="J547" s="9">
        <v>70</v>
      </c>
      <c r="K547" s="11" t="s">
        <v>1891</v>
      </c>
      <c r="L547" s="11" t="s">
        <v>2</v>
      </c>
      <c r="M547" s="8" t="s">
        <v>592</v>
      </c>
      <c r="N547" s="8" t="s">
        <v>592</v>
      </c>
      <c r="O547" s="11" t="s">
        <v>592</v>
      </c>
      <c r="P547" s="22">
        <v>0</v>
      </c>
      <c r="Q547" s="12"/>
      <c r="R547" s="11" t="s">
        <v>599</v>
      </c>
      <c r="S547" s="8">
        <v>5</v>
      </c>
      <c r="T547" s="12"/>
      <c r="U547" s="11">
        <v>500</v>
      </c>
      <c r="V547" s="11" t="s">
        <v>593</v>
      </c>
      <c r="W547" s="11"/>
      <c r="X547" s="9"/>
      <c r="Y547" s="9"/>
      <c r="Z547" s="8" t="s">
        <v>456</v>
      </c>
      <c r="AA547" s="9"/>
      <c r="AB547" s="9" t="s">
        <v>2347</v>
      </c>
      <c r="AC547" s="46" t="s">
        <v>2351</v>
      </c>
    </row>
    <row r="548" spans="1:29" ht="33.75" customHeight="1">
      <c r="A548" s="9"/>
      <c r="B548" s="8" t="s">
        <v>109</v>
      </c>
      <c r="C548" s="9">
        <v>336200</v>
      </c>
      <c r="D548" s="9">
        <v>495800</v>
      </c>
      <c r="E548" s="9" t="s">
        <v>1888</v>
      </c>
      <c r="F548" s="9"/>
      <c r="G548" s="9"/>
      <c r="H548" s="9" t="s">
        <v>1896</v>
      </c>
      <c r="I548" s="8" t="s">
        <v>1897</v>
      </c>
      <c r="J548" s="9">
        <v>70</v>
      </c>
      <c r="K548" s="11" t="s">
        <v>1891</v>
      </c>
      <c r="L548" s="11" t="s">
        <v>2</v>
      </c>
      <c r="M548" s="8" t="s">
        <v>592</v>
      </c>
      <c r="N548" s="8" t="s">
        <v>592</v>
      </c>
      <c r="O548" s="11" t="s">
        <v>592</v>
      </c>
      <c r="P548" s="22">
        <v>0</v>
      </c>
      <c r="Q548" s="12"/>
      <c r="R548" s="11" t="s">
        <v>599</v>
      </c>
      <c r="S548" s="8">
        <v>10</v>
      </c>
      <c r="T548" s="12"/>
      <c r="U548" s="11">
        <v>500</v>
      </c>
      <c r="V548" s="11" t="s">
        <v>593</v>
      </c>
      <c r="W548" s="11"/>
      <c r="X548" s="9"/>
      <c r="Y548" s="9"/>
      <c r="Z548" s="8" t="s">
        <v>456</v>
      </c>
      <c r="AA548" s="9"/>
      <c r="AB548" s="9" t="s">
        <v>2347</v>
      </c>
      <c r="AC548" s="46" t="s">
        <v>2351</v>
      </c>
    </row>
    <row r="549" spans="1:29" ht="33.75" customHeight="1">
      <c r="A549" s="9"/>
      <c r="B549" s="8" t="s">
        <v>109</v>
      </c>
      <c r="C549" s="9">
        <v>338500</v>
      </c>
      <c r="D549" s="9">
        <v>492300</v>
      </c>
      <c r="E549" s="9" t="s">
        <v>1888</v>
      </c>
      <c r="F549" s="9"/>
      <c r="G549" s="9"/>
      <c r="H549" s="9" t="s">
        <v>1898</v>
      </c>
      <c r="I549" s="8" t="s">
        <v>1899</v>
      </c>
      <c r="J549" s="9">
        <v>40</v>
      </c>
      <c r="K549" s="11" t="s">
        <v>1891</v>
      </c>
      <c r="L549" s="11" t="s">
        <v>2</v>
      </c>
      <c r="M549" s="8" t="s">
        <v>592</v>
      </c>
      <c r="N549" s="8" t="s">
        <v>592</v>
      </c>
      <c r="O549" s="11" t="s">
        <v>592</v>
      </c>
      <c r="P549" s="22">
        <v>0</v>
      </c>
      <c r="Q549" s="12"/>
      <c r="R549" s="11" t="s">
        <v>599</v>
      </c>
      <c r="S549" s="8">
        <v>6</v>
      </c>
      <c r="T549" s="12"/>
      <c r="U549" s="11">
        <v>500</v>
      </c>
      <c r="V549" s="11" t="s">
        <v>593</v>
      </c>
      <c r="W549" s="11"/>
      <c r="X549" s="9"/>
      <c r="Y549" s="9"/>
      <c r="Z549" s="8" t="s">
        <v>456</v>
      </c>
      <c r="AA549" s="9"/>
      <c r="AB549" s="9" t="s">
        <v>2347</v>
      </c>
      <c r="AC549" s="46" t="s">
        <v>2351</v>
      </c>
    </row>
    <row r="550" spans="1:29" ht="33.75" customHeight="1">
      <c r="A550" s="9"/>
      <c r="B550" s="8" t="s">
        <v>109</v>
      </c>
      <c r="C550" s="9">
        <v>336500</v>
      </c>
      <c r="D550" s="9">
        <v>500400</v>
      </c>
      <c r="E550" s="9" t="s">
        <v>1900</v>
      </c>
      <c r="F550" s="9"/>
      <c r="G550" s="9"/>
      <c r="H550" s="9" t="s">
        <v>1901</v>
      </c>
      <c r="I550" s="8" t="s">
        <v>1902</v>
      </c>
      <c r="J550" s="9">
        <v>50</v>
      </c>
      <c r="K550" s="11"/>
      <c r="L550" s="11" t="s">
        <v>2</v>
      </c>
      <c r="M550" s="8" t="s">
        <v>592</v>
      </c>
      <c r="N550" s="8" t="s">
        <v>592</v>
      </c>
      <c r="O550" s="11" t="s">
        <v>592</v>
      </c>
      <c r="P550" s="22">
        <v>0</v>
      </c>
      <c r="Q550" s="12"/>
      <c r="R550" s="11" t="s">
        <v>599</v>
      </c>
      <c r="S550" s="8">
        <v>8</v>
      </c>
      <c r="T550" s="12"/>
      <c r="U550" s="11">
        <v>500</v>
      </c>
      <c r="V550" s="11" t="s">
        <v>593</v>
      </c>
      <c r="W550" s="11"/>
      <c r="X550" s="9"/>
      <c r="Y550" s="9"/>
      <c r="Z550" s="8" t="s">
        <v>457</v>
      </c>
      <c r="AA550" s="9"/>
      <c r="AB550" s="9" t="s">
        <v>2347</v>
      </c>
      <c r="AC550" s="46" t="s">
        <v>2351</v>
      </c>
    </row>
    <row r="551" spans="1:29" ht="33.75" customHeight="1">
      <c r="A551" s="9"/>
      <c r="B551" s="8" t="s">
        <v>109</v>
      </c>
      <c r="C551" s="9">
        <v>336600</v>
      </c>
      <c r="D551" s="9">
        <v>500500</v>
      </c>
      <c r="E551" s="9" t="s">
        <v>1900</v>
      </c>
      <c r="F551" s="9"/>
      <c r="G551" s="9"/>
      <c r="H551" s="9" t="s">
        <v>1382</v>
      </c>
      <c r="I551" s="8" t="s">
        <v>1903</v>
      </c>
      <c r="J551" s="9">
        <v>50</v>
      </c>
      <c r="K551" s="11"/>
      <c r="L551" s="11" t="s">
        <v>2</v>
      </c>
      <c r="M551" s="8" t="s">
        <v>592</v>
      </c>
      <c r="N551" s="8" t="s">
        <v>592</v>
      </c>
      <c r="O551" s="11" t="s">
        <v>592</v>
      </c>
      <c r="P551" s="22">
        <v>0</v>
      </c>
      <c r="Q551" s="12"/>
      <c r="R551" s="11" t="s">
        <v>599</v>
      </c>
      <c r="S551" s="8">
        <v>8</v>
      </c>
      <c r="T551" s="12"/>
      <c r="U551" s="11">
        <v>500</v>
      </c>
      <c r="V551" s="11" t="s">
        <v>593</v>
      </c>
      <c r="W551" s="11"/>
      <c r="X551" s="9"/>
      <c r="Y551" s="9"/>
      <c r="Z551" s="8" t="s">
        <v>457</v>
      </c>
      <c r="AA551" s="9"/>
      <c r="AB551" s="9" t="s">
        <v>2347</v>
      </c>
      <c r="AC551" s="46" t="s">
        <v>2351</v>
      </c>
    </row>
    <row r="552" spans="1:29" ht="33.75" customHeight="1">
      <c r="A552" s="9">
        <v>37</v>
      </c>
      <c r="B552" s="8" t="s">
        <v>109</v>
      </c>
      <c r="C552" s="9">
        <v>365086</v>
      </c>
      <c r="D552" s="9">
        <v>496752</v>
      </c>
      <c r="E552" s="9" t="s">
        <v>1904</v>
      </c>
      <c r="F552" s="9"/>
      <c r="G552" s="9"/>
      <c r="H552" s="9" t="s">
        <v>1905</v>
      </c>
      <c r="I552" s="8" t="s">
        <v>1906</v>
      </c>
      <c r="J552" s="9">
        <v>200</v>
      </c>
      <c r="K552" s="11" t="s">
        <v>1906</v>
      </c>
      <c r="L552" s="11" t="s">
        <v>2</v>
      </c>
      <c r="M552" s="8" t="s">
        <v>592</v>
      </c>
      <c r="N552" s="8" t="s">
        <v>592</v>
      </c>
      <c r="O552" s="11" t="s">
        <v>592</v>
      </c>
      <c r="P552" s="22">
        <v>1</v>
      </c>
      <c r="Q552" s="12"/>
      <c r="R552" s="11" t="s">
        <v>237</v>
      </c>
      <c r="S552" s="8">
        <v>3</v>
      </c>
      <c r="T552" s="12"/>
      <c r="U552" s="11" t="s">
        <v>592</v>
      </c>
      <c r="V552" s="11" t="s">
        <v>593</v>
      </c>
      <c r="W552" s="11" t="s">
        <v>1907</v>
      </c>
      <c r="X552" s="9" t="s">
        <v>127</v>
      </c>
      <c r="Y552" s="9" t="s">
        <v>100</v>
      </c>
      <c r="Z552" s="8" t="s">
        <v>1908</v>
      </c>
      <c r="AA552" s="9"/>
      <c r="AB552" s="9" t="s">
        <v>2347</v>
      </c>
      <c r="AC552" s="46" t="s">
        <v>2351</v>
      </c>
    </row>
    <row r="553" spans="1:29" ht="33.75" customHeight="1">
      <c r="A553" s="9">
        <v>37</v>
      </c>
      <c r="B553" s="8" t="s">
        <v>109</v>
      </c>
      <c r="C553" s="9">
        <v>363762</v>
      </c>
      <c r="D553" s="9">
        <v>501391</v>
      </c>
      <c r="E553" s="9" t="s">
        <v>1904</v>
      </c>
      <c r="F553" s="9"/>
      <c r="G553" s="9"/>
      <c r="H553" s="9" t="s">
        <v>1909</v>
      </c>
      <c r="I553" s="8" t="s">
        <v>126</v>
      </c>
      <c r="J553" s="9">
        <v>430</v>
      </c>
      <c r="K553" s="11" t="s">
        <v>126</v>
      </c>
      <c r="L553" s="11" t="s">
        <v>2</v>
      </c>
      <c r="M553" s="8">
        <v>3480</v>
      </c>
      <c r="N553" s="8">
        <v>256</v>
      </c>
      <c r="O553" s="11">
        <f t="shared" ref="O553:O559" si="11">M553-N553</f>
        <v>3224</v>
      </c>
      <c r="P553" s="22">
        <v>7</v>
      </c>
      <c r="Q553" s="12">
        <f t="shared" ref="Q553:Q559" si="12">P553/O553*1000</f>
        <v>2.1712158808933002</v>
      </c>
      <c r="R553" s="11" t="s">
        <v>237</v>
      </c>
      <c r="S553" s="8">
        <v>38</v>
      </c>
      <c r="T553" s="12">
        <f t="shared" ref="T553:T559" si="13">S553/O553*1000</f>
        <v>11.786600496277917</v>
      </c>
      <c r="U553" s="11" t="s">
        <v>592</v>
      </c>
      <c r="V553" s="11" t="s">
        <v>593</v>
      </c>
      <c r="W553" s="11" t="s">
        <v>1907</v>
      </c>
      <c r="X553" s="9" t="s">
        <v>127</v>
      </c>
      <c r="Y553" s="9" t="s">
        <v>100</v>
      </c>
      <c r="Z553" s="8" t="s">
        <v>1910</v>
      </c>
      <c r="AA553" s="9"/>
      <c r="AB553" s="9" t="s">
        <v>2347</v>
      </c>
      <c r="AC553" s="46" t="s">
        <v>2351</v>
      </c>
    </row>
    <row r="554" spans="1:29" ht="33.75" customHeight="1">
      <c r="A554" s="9">
        <v>37</v>
      </c>
      <c r="B554" s="8" t="s">
        <v>109</v>
      </c>
      <c r="C554" s="9">
        <v>365245</v>
      </c>
      <c r="D554" s="9">
        <v>500067</v>
      </c>
      <c r="E554" s="9" t="s">
        <v>1904</v>
      </c>
      <c r="F554" s="9"/>
      <c r="G554" s="9"/>
      <c r="H554" s="9" t="s">
        <v>1911</v>
      </c>
      <c r="I554" s="8" t="s">
        <v>1912</v>
      </c>
      <c r="J554" s="9">
        <v>400</v>
      </c>
      <c r="K554" s="11" t="s">
        <v>1912</v>
      </c>
      <c r="L554" s="11" t="s">
        <v>2</v>
      </c>
      <c r="M554" s="8">
        <v>1900</v>
      </c>
      <c r="N554" s="8">
        <v>1210</v>
      </c>
      <c r="O554" s="11">
        <f t="shared" si="11"/>
        <v>690</v>
      </c>
      <c r="P554" s="22">
        <v>2</v>
      </c>
      <c r="Q554" s="12">
        <f t="shared" si="12"/>
        <v>2.8985507246376812</v>
      </c>
      <c r="R554" s="11" t="s">
        <v>237</v>
      </c>
      <c r="S554" s="8">
        <v>4</v>
      </c>
      <c r="T554" s="12">
        <f t="shared" si="13"/>
        <v>5.7971014492753623</v>
      </c>
      <c r="U554" s="11" t="s">
        <v>592</v>
      </c>
      <c r="V554" s="11" t="s">
        <v>593</v>
      </c>
      <c r="W554" s="11" t="s">
        <v>1907</v>
      </c>
      <c r="X554" s="9" t="s">
        <v>127</v>
      </c>
      <c r="Y554" s="9" t="s">
        <v>100</v>
      </c>
      <c r="Z554" s="8" t="s">
        <v>1910</v>
      </c>
      <c r="AA554" s="9"/>
      <c r="AB554" s="9" t="s">
        <v>2347</v>
      </c>
      <c r="AC554" s="46" t="s">
        <v>2351</v>
      </c>
    </row>
    <row r="555" spans="1:29" ht="33.75" customHeight="1">
      <c r="A555" s="9">
        <v>37</v>
      </c>
      <c r="B555" s="8" t="s">
        <v>109</v>
      </c>
      <c r="C555" s="9">
        <v>367790</v>
      </c>
      <c r="D555" s="9">
        <v>503695</v>
      </c>
      <c r="E555" s="9" t="s">
        <v>1904</v>
      </c>
      <c r="F555" s="9"/>
      <c r="G555" s="9"/>
      <c r="H555" s="9" t="s">
        <v>1913</v>
      </c>
      <c r="I555" s="8" t="s">
        <v>1914</v>
      </c>
      <c r="J555" s="9">
        <v>270</v>
      </c>
      <c r="K555" s="11" t="s">
        <v>1915</v>
      </c>
      <c r="L555" s="11" t="s">
        <v>2</v>
      </c>
      <c r="M555" s="8">
        <v>6070</v>
      </c>
      <c r="N555" s="8">
        <v>395</v>
      </c>
      <c r="O555" s="11">
        <f t="shared" si="11"/>
        <v>5675</v>
      </c>
      <c r="P555" s="22">
        <v>4</v>
      </c>
      <c r="Q555" s="12">
        <f t="shared" si="12"/>
        <v>0.70484581497797361</v>
      </c>
      <c r="R555" s="11" t="s">
        <v>237</v>
      </c>
      <c r="S555" s="8">
        <v>9</v>
      </c>
      <c r="T555" s="12">
        <f t="shared" si="13"/>
        <v>1.5859030837004404</v>
      </c>
      <c r="U555" s="11" t="s">
        <v>592</v>
      </c>
      <c r="V555" s="11" t="s">
        <v>593</v>
      </c>
      <c r="W555" s="11" t="s">
        <v>1907</v>
      </c>
      <c r="X555" s="9" t="s">
        <v>127</v>
      </c>
      <c r="Y555" s="9" t="s">
        <v>100</v>
      </c>
      <c r="Z555" s="8" t="s">
        <v>1910</v>
      </c>
      <c r="AA555" s="9"/>
      <c r="AB555" s="9" t="s">
        <v>2347</v>
      </c>
      <c r="AC555" s="46" t="s">
        <v>2351</v>
      </c>
    </row>
    <row r="556" spans="1:29" ht="33.75" customHeight="1">
      <c r="A556" s="9">
        <v>37</v>
      </c>
      <c r="B556" s="8" t="s">
        <v>109</v>
      </c>
      <c r="C556" s="9">
        <v>363263</v>
      </c>
      <c r="D556" s="9">
        <v>500350</v>
      </c>
      <c r="E556" s="9" t="s">
        <v>1904</v>
      </c>
      <c r="F556" s="9"/>
      <c r="G556" s="9"/>
      <c r="H556" s="9" t="s">
        <v>1916</v>
      </c>
      <c r="I556" s="8" t="s">
        <v>1917</v>
      </c>
      <c r="J556" s="9">
        <v>200</v>
      </c>
      <c r="K556" s="11" t="s">
        <v>1917</v>
      </c>
      <c r="L556" s="11" t="s">
        <v>2</v>
      </c>
      <c r="M556" s="8">
        <v>2290</v>
      </c>
      <c r="N556" s="8">
        <v>2145</v>
      </c>
      <c r="O556" s="11">
        <f t="shared" si="11"/>
        <v>145</v>
      </c>
      <c r="P556" s="22">
        <v>2</v>
      </c>
      <c r="Q556" s="12">
        <f t="shared" si="12"/>
        <v>13.793103448275861</v>
      </c>
      <c r="R556" s="11" t="s">
        <v>237</v>
      </c>
      <c r="S556" s="8">
        <v>7</v>
      </c>
      <c r="T556" s="12">
        <f t="shared" si="13"/>
        <v>48.275862068965516</v>
      </c>
      <c r="U556" s="11" t="s">
        <v>592</v>
      </c>
      <c r="V556" s="11" t="s">
        <v>593</v>
      </c>
      <c r="W556" s="11" t="s">
        <v>1907</v>
      </c>
      <c r="X556" s="9" t="s">
        <v>127</v>
      </c>
      <c r="Y556" s="9" t="s">
        <v>100</v>
      </c>
      <c r="Z556" s="8" t="s">
        <v>1910</v>
      </c>
      <c r="AA556" s="9"/>
      <c r="AB556" s="9" t="s">
        <v>2347</v>
      </c>
      <c r="AC556" s="46" t="s">
        <v>2351</v>
      </c>
    </row>
    <row r="557" spans="1:29" ht="33.75" customHeight="1">
      <c r="A557" s="9">
        <v>37</v>
      </c>
      <c r="B557" s="8" t="s">
        <v>109</v>
      </c>
      <c r="C557" s="9">
        <v>366931</v>
      </c>
      <c r="D557" s="9">
        <v>502011</v>
      </c>
      <c r="E557" s="9" t="s">
        <v>1904</v>
      </c>
      <c r="F557" s="9"/>
      <c r="G557" s="9"/>
      <c r="H557" s="9" t="s">
        <v>1918</v>
      </c>
      <c r="I557" s="8" t="s">
        <v>1919</v>
      </c>
      <c r="J557" s="9">
        <v>310</v>
      </c>
      <c r="K557" s="11" t="s">
        <v>1919</v>
      </c>
      <c r="L557" s="11" t="s">
        <v>2</v>
      </c>
      <c r="M557" s="8">
        <v>2580</v>
      </c>
      <c r="N557" s="8">
        <v>940</v>
      </c>
      <c r="O557" s="11">
        <f t="shared" si="11"/>
        <v>1640</v>
      </c>
      <c r="P557" s="22">
        <v>3</v>
      </c>
      <c r="Q557" s="12">
        <f t="shared" si="12"/>
        <v>1.8292682926829269</v>
      </c>
      <c r="R557" s="11" t="s">
        <v>237</v>
      </c>
      <c r="S557" s="8">
        <v>17</v>
      </c>
      <c r="T557" s="12">
        <f t="shared" si="13"/>
        <v>10.365853658536587</v>
      </c>
      <c r="U557" s="11" t="s">
        <v>592</v>
      </c>
      <c r="V557" s="11" t="s">
        <v>593</v>
      </c>
      <c r="W557" s="11" t="s">
        <v>1907</v>
      </c>
      <c r="X557" s="9" t="s">
        <v>127</v>
      </c>
      <c r="Y557" s="9" t="s">
        <v>100</v>
      </c>
      <c r="Z557" s="8" t="s">
        <v>1910</v>
      </c>
      <c r="AA557" s="9"/>
      <c r="AB557" s="9" t="s">
        <v>2347</v>
      </c>
      <c r="AC557" s="46" t="s">
        <v>2351</v>
      </c>
    </row>
    <row r="558" spans="1:29" ht="33.75" customHeight="1">
      <c r="A558" s="9">
        <v>35</v>
      </c>
      <c r="B558" s="8" t="s">
        <v>109</v>
      </c>
      <c r="C558" s="9">
        <v>333100</v>
      </c>
      <c r="D558" s="9">
        <v>482800</v>
      </c>
      <c r="E558" s="9" t="s">
        <v>1920</v>
      </c>
      <c r="F558" s="9"/>
      <c r="G558" s="9"/>
      <c r="H558" s="9" t="s">
        <v>1921</v>
      </c>
      <c r="I558" s="8" t="s">
        <v>1922</v>
      </c>
      <c r="J558" s="9">
        <v>8</v>
      </c>
      <c r="K558" s="11" t="s">
        <v>1923</v>
      </c>
      <c r="L558" s="11" t="s">
        <v>2</v>
      </c>
      <c r="M558" s="8">
        <v>2980</v>
      </c>
      <c r="N558" s="8">
        <v>1046</v>
      </c>
      <c r="O558" s="11">
        <f t="shared" si="11"/>
        <v>1934</v>
      </c>
      <c r="P558" s="22">
        <v>9</v>
      </c>
      <c r="Q558" s="12">
        <f t="shared" si="12"/>
        <v>4.6535677352637022</v>
      </c>
      <c r="R558" s="11" t="s">
        <v>237</v>
      </c>
      <c r="S558" s="8">
        <v>125</v>
      </c>
      <c r="T558" s="12">
        <f t="shared" si="13"/>
        <v>64.63288521199587</v>
      </c>
      <c r="U558" s="11">
        <v>250</v>
      </c>
      <c r="V558" s="11" t="s">
        <v>593</v>
      </c>
      <c r="W558" s="11" t="s">
        <v>1924</v>
      </c>
      <c r="X558" s="9" t="s">
        <v>122</v>
      </c>
      <c r="Y558" s="9" t="s">
        <v>100</v>
      </c>
      <c r="Z558" s="8" t="s">
        <v>1925</v>
      </c>
      <c r="AA558" s="9"/>
      <c r="AB558" s="9" t="s">
        <v>2347</v>
      </c>
      <c r="AC558" s="46" t="s">
        <v>2351</v>
      </c>
    </row>
    <row r="559" spans="1:29" ht="33.75" customHeight="1">
      <c r="A559" s="9">
        <v>35</v>
      </c>
      <c r="B559" s="8" t="s">
        <v>109</v>
      </c>
      <c r="C559" s="9">
        <v>333500</v>
      </c>
      <c r="D559" s="9">
        <v>488000</v>
      </c>
      <c r="E559" s="9" t="s">
        <v>1920</v>
      </c>
      <c r="F559" s="9"/>
      <c r="G559" s="9"/>
      <c r="H559" s="9" t="s">
        <v>1926</v>
      </c>
      <c r="I559" s="8" t="s">
        <v>1927</v>
      </c>
      <c r="J559" s="9">
        <v>7</v>
      </c>
      <c r="K559" s="11" t="s">
        <v>1928</v>
      </c>
      <c r="L559" s="11" t="s">
        <v>2</v>
      </c>
      <c r="M559" s="8">
        <v>1418</v>
      </c>
      <c r="N559" s="8">
        <v>801</v>
      </c>
      <c r="O559" s="11">
        <f t="shared" si="11"/>
        <v>617</v>
      </c>
      <c r="P559" s="22">
        <v>9</v>
      </c>
      <c r="Q559" s="12">
        <f t="shared" si="12"/>
        <v>14.586709886547812</v>
      </c>
      <c r="R559" s="11" t="s">
        <v>237</v>
      </c>
      <c r="S559" s="8">
        <v>36</v>
      </c>
      <c r="T559" s="12">
        <f t="shared" si="13"/>
        <v>58.346839546191248</v>
      </c>
      <c r="U559" s="11">
        <v>500</v>
      </c>
      <c r="V559" s="11" t="s">
        <v>593</v>
      </c>
      <c r="W559" s="11" t="s">
        <v>1924</v>
      </c>
      <c r="X559" s="9" t="s">
        <v>122</v>
      </c>
      <c r="Y559" s="9" t="s">
        <v>100</v>
      </c>
      <c r="Z559" s="8" t="s">
        <v>1929</v>
      </c>
      <c r="AA559" s="9"/>
      <c r="AB559" s="9" t="s">
        <v>2347</v>
      </c>
      <c r="AC559" s="46" t="s">
        <v>2351</v>
      </c>
    </row>
    <row r="560" spans="1:29" ht="33.75" customHeight="1">
      <c r="A560" s="9"/>
      <c r="B560" s="8" t="s">
        <v>109</v>
      </c>
      <c r="C560" s="9">
        <v>362800</v>
      </c>
      <c r="D560" s="9">
        <v>499900</v>
      </c>
      <c r="E560" s="9" t="s">
        <v>1930</v>
      </c>
      <c r="F560" s="9"/>
      <c r="G560" s="9"/>
      <c r="H560" s="9" t="s">
        <v>1931</v>
      </c>
      <c r="I560" s="8" t="s">
        <v>1932</v>
      </c>
      <c r="J560" s="9">
        <v>220</v>
      </c>
      <c r="K560" s="11"/>
      <c r="L560" s="11" t="s">
        <v>2</v>
      </c>
      <c r="M560" s="8" t="s">
        <v>592</v>
      </c>
      <c r="N560" s="8" t="s">
        <v>592</v>
      </c>
      <c r="O560" s="11" t="s">
        <v>592</v>
      </c>
      <c r="P560" s="22">
        <v>1</v>
      </c>
      <c r="Q560" s="12"/>
      <c r="R560" s="11" t="s">
        <v>237</v>
      </c>
      <c r="S560" s="8">
        <v>9</v>
      </c>
      <c r="T560" s="12"/>
      <c r="U560" s="11">
        <v>500</v>
      </c>
      <c r="V560" s="11" t="s">
        <v>593</v>
      </c>
      <c r="W560" s="11"/>
      <c r="X560" s="9"/>
      <c r="Y560" s="9"/>
      <c r="Z560" s="8" t="s">
        <v>1933</v>
      </c>
      <c r="AA560" s="9"/>
      <c r="AB560" s="9" t="s">
        <v>2347</v>
      </c>
      <c r="AC560" s="46" t="s">
        <v>2351</v>
      </c>
    </row>
    <row r="561" spans="1:29" ht="33.75" customHeight="1">
      <c r="A561" s="9"/>
      <c r="B561" s="8" t="s">
        <v>109</v>
      </c>
      <c r="C561" s="9">
        <v>363200</v>
      </c>
      <c r="D561" s="9">
        <v>500700</v>
      </c>
      <c r="E561" s="9" t="s">
        <v>1930</v>
      </c>
      <c r="F561" s="9"/>
      <c r="G561" s="9"/>
      <c r="H561" s="9" t="s">
        <v>1934</v>
      </c>
      <c r="I561" s="8" t="s">
        <v>126</v>
      </c>
      <c r="J561" s="9">
        <v>440</v>
      </c>
      <c r="K561" s="11"/>
      <c r="L561" s="11" t="s">
        <v>2</v>
      </c>
      <c r="M561" s="8" t="s">
        <v>592</v>
      </c>
      <c r="N561" s="8" t="s">
        <v>592</v>
      </c>
      <c r="O561" s="11" t="s">
        <v>592</v>
      </c>
      <c r="P561" s="22">
        <v>1</v>
      </c>
      <c r="Q561" s="12"/>
      <c r="R561" s="11" t="s">
        <v>237</v>
      </c>
      <c r="S561" s="8">
        <v>21</v>
      </c>
      <c r="T561" s="12"/>
      <c r="U561" s="11">
        <v>500</v>
      </c>
      <c r="V561" s="11" t="s">
        <v>593</v>
      </c>
      <c r="W561" s="11"/>
      <c r="X561" s="9"/>
      <c r="Y561" s="9"/>
      <c r="Z561" s="8" t="s">
        <v>1933</v>
      </c>
      <c r="AA561" s="9"/>
      <c r="AB561" s="9" t="s">
        <v>2347</v>
      </c>
      <c r="AC561" s="46" t="s">
        <v>2351</v>
      </c>
    </row>
    <row r="562" spans="1:29" ht="33.75" customHeight="1">
      <c r="A562" s="9"/>
      <c r="B562" s="8" t="s">
        <v>109</v>
      </c>
      <c r="C562" s="9">
        <v>348700</v>
      </c>
      <c r="D562" s="9">
        <v>569400</v>
      </c>
      <c r="E562" s="9" t="s">
        <v>1935</v>
      </c>
      <c r="F562" s="9"/>
      <c r="G562" s="9"/>
      <c r="H562" s="9" t="s">
        <v>1936</v>
      </c>
      <c r="I562" s="8" t="s">
        <v>1937</v>
      </c>
      <c r="J562" s="9">
        <v>110</v>
      </c>
      <c r="K562" s="11" t="s">
        <v>1938</v>
      </c>
      <c r="L562" s="11" t="s">
        <v>2</v>
      </c>
      <c r="M562" s="8">
        <v>1833</v>
      </c>
      <c r="N562" s="8">
        <v>633</v>
      </c>
      <c r="O562" s="11">
        <f>M562-N562</f>
        <v>1200</v>
      </c>
      <c r="P562" s="22">
        <v>6</v>
      </c>
      <c r="Q562" s="12">
        <f>P562/O562*1000</f>
        <v>5</v>
      </c>
      <c r="R562" s="11" t="s">
        <v>237</v>
      </c>
      <c r="S562" s="8">
        <v>40</v>
      </c>
      <c r="T562" s="12">
        <f>S562/O562*1000</f>
        <v>33.333333333333336</v>
      </c>
      <c r="U562" s="11">
        <v>250</v>
      </c>
      <c r="V562" s="11" t="s">
        <v>593</v>
      </c>
      <c r="W562" s="11"/>
      <c r="X562" s="9"/>
      <c r="Y562" s="9"/>
      <c r="Z562" s="8" t="s">
        <v>458</v>
      </c>
      <c r="AA562" s="9"/>
      <c r="AB562" s="9" t="s">
        <v>2347</v>
      </c>
      <c r="AC562" s="46" t="s">
        <v>2351</v>
      </c>
    </row>
    <row r="563" spans="1:29" ht="33.75" customHeight="1">
      <c r="A563" s="9"/>
      <c r="B563" s="8" t="s">
        <v>109</v>
      </c>
      <c r="C563" s="9">
        <v>347900</v>
      </c>
      <c r="D563" s="9">
        <v>568300</v>
      </c>
      <c r="E563" s="9" t="s">
        <v>1935</v>
      </c>
      <c r="F563" s="9"/>
      <c r="G563" s="9"/>
      <c r="H563" s="9" t="s">
        <v>1939</v>
      </c>
      <c r="I563" s="8" t="s">
        <v>1940</v>
      </c>
      <c r="J563" s="9">
        <v>105</v>
      </c>
      <c r="K563" s="11" t="s">
        <v>1941</v>
      </c>
      <c r="L563" s="11" t="s">
        <v>2</v>
      </c>
      <c r="M563" s="8">
        <v>2578</v>
      </c>
      <c r="N563" s="8">
        <v>778</v>
      </c>
      <c r="O563" s="11">
        <f>M563-N563</f>
        <v>1800</v>
      </c>
      <c r="P563" s="22">
        <v>3</v>
      </c>
      <c r="Q563" s="12">
        <f>P563/O563*1000</f>
        <v>1.6666666666666667</v>
      </c>
      <c r="R563" s="11" t="s">
        <v>237</v>
      </c>
      <c r="S563" s="8">
        <v>45</v>
      </c>
      <c r="T563" s="12">
        <f>S563/O563*1000</f>
        <v>25</v>
      </c>
      <c r="U563" s="11">
        <v>250</v>
      </c>
      <c r="V563" s="11" t="s">
        <v>593</v>
      </c>
      <c r="W563" s="11"/>
      <c r="X563" s="9"/>
      <c r="Y563" s="9"/>
      <c r="Z563" s="8" t="s">
        <v>458</v>
      </c>
      <c r="AA563" s="9"/>
      <c r="AB563" s="9" t="s">
        <v>2347</v>
      </c>
      <c r="AC563" s="46" t="s">
        <v>2351</v>
      </c>
    </row>
    <row r="564" spans="1:29" ht="33.75" customHeight="1">
      <c r="A564" s="9"/>
      <c r="B564" s="8" t="s">
        <v>109</v>
      </c>
      <c r="C564" s="9">
        <v>350400</v>
      </c>
      <c r="D564" s="9">
        <v>566700</v>
      </c>
      <c r="E564" s="9" t="s">
        <v>1935</v>
      </c>
      <c r="F564" s="9"/>
      <c r="G564" s="9"/>
      <c r="H564" s="9" t="s">
        <v>1942</v>
      </c>
      <c r="I564" s="8" t="s">
        <v>91</v>
      </c>
      <c r="J564" s="9">
        <v>95</v>
      </c>
      <c r="K564" s="11"/>
      <c r="L564" s="11" t="s">
        <v>2</v>
      </c>
      <c r="M564" s="8">
        <v>2043</v>
      </c>
      <c r="N564" s="8">
        <v>193</v>
      </c>
      <c r="O564" s="11">
        <f>M564-N564</f>
        <v>1850</v>
      </c>
      <c r="P564" s="22">
        <v>3</v>
      </c>
      <c r="Q564" s="12">
        <f>P564/O564*1000</f>
        <v>1.6216216216216215</v>
      </c>
      <c r="R564" s="11" t="s">
        <v>237</v>
      </c>
      <c r="S564" s="8">
        <v>30</v>
      </c>
      <c r="T564" s="12">
        <f>S564/O564*1000</f>
        <v>16.216216216216218</v>
      </c>
      <c r="U564" s="11">
        <v>250</v>
      </c>
      <c r="V564" s="11" t="s">
        <v>593</v>
      </c>
      <c r="W564" s="11"/>
      <c r="X564" s="9"/>
      <c r="Y564" s="9"/>
      <c r="Z564" s="8" t="s">
        <v>458</v>
      </c>
      <c r="AA564" s="9"/>
      <c r="AB564" s="9" t="s">
        <v>2347</v>
      </c>
      <c r="AC564" s="46" t="s">
        <v>2351</v>
      </c>
    </row>
    <row r="565" spans="1:29" ht="33.75" customHeight="1">
      <c r="A565" s="9"/>
      <c r="B565" s="8" t="s">
        <v>109</v>
      </c>
      <c r="C565" s="9">
        <v>336000</v>
      </c>
      <c r="D565" s="9">
        <v>496400</v>
      </c>
      <c r="E565" s="9" t="s">
        <v>1943</v>
      </c>
      <c r="F565" s="9"/>
      <c r="G565" s="9"/>
      <c r="H565" s="9" t="s">
        <v>1944</v>
      </c>
      <c r="I565" s="8" t="s">
        <v>1945</v>
      </c>
      <c r="J565" s="9">
        <v>70</v>
      </c>
      <c r="K565" s="11"/>
      <c r="L565" s="11" t="s">
        <v>2</v>
      </c>
      <c r="M565" s="8" t="s">
        <v>592</v>
      </c>
      <c r="N565" s="8" t="s">
        <v>592</v>
      </c>
      <c r="O565" s="11" t="s">
        <v>592</v>
      </c>
      <c r="P565" s="22">
        <v>0</v>
      </c>
      <c r="Q565" s="12"/>
      <c r="R565" s="11" t="s">
        <v>237</v>
      </c>
      <c r="S565" s="8">
        <v>38</v>
      </c>
      <c r="T565" s="12"/>
      <c r="U565" s="11" t="s">
        <v>592</v>
      </c>
      <c r="V565" s="11" t="s">
        <v>593</v>
      </c>
      <c r="W565" s="11"/>
      <c r="X565" s="9"/>
      <c r="Y565" s="9"/>
      <c r="Z565" s="8" t="s">
        <v>1946</v>
      </c>
      <c r="AA565" s="9"/>
      <c r="AB565" s="9" t="s">
        <v>2347</v>
      </c>
      <c r="AC565" s="46" t="s">
        <v>2351</v>
      </c>
    </row>
    <row r="566" spans="1:29" ht="33.75" customHeight="1">
      <c r="A566" s="9"/>
      <c r="B566" s="8" t="s">
        <v>109</v>
      </c>
      <c r="C566" s="9">
        <v>343100</v>
      </c>
      <c r="D566" s="9">
        <v>563500</v>
      </c>
      <c r="E566" s="9" t="s">
        <v>1947</v>
      </c>
      <c r="F566" s="9"/>
      <c r="G566" s="9"/>
      <c r="H566" s="9" t="s">
        <v>1948</v>
      </c>
      <c r="I566" s="8" t="s">
        <v>1949</v>
      </c>
      <c r="J566" s="9">
        <v>33</v>
      </c>
      <c r="K566" s="11" t="s">
        <v>841</v>
      </c>
      <c r="L566" s="11" t="s">
        <v>2</v>
      </c>
      <c r="M566" s="8">
        <v>10323</v>
      </c>
      <c r="N566" s="8">
        <v>4985</v>
      </c>
      <c r="O566" s="11">
        <f>M566-N566</f>
        <v>5338</v>
      </c>
      <c r="P566" s="22">
        <v>13</v>
      </c>
      <c r="Q566" s="12">
        <f>P566/O566*1000</f>
        <v>2.4353690520794302</v>
      </c>
      <c r="R566" s="11" t="s">
        <v>237</v>
      </c>
      <c r="S566" s="8">
        <v>26</v>
      </c>
      <c r="T566" s="12">
        <f>S566/O566*1000</f>
        <v>4.8707381041588604</v>
      </c>
      <c r="U566" s="11" t="s">
        <v>592</v>
      </c>
      <c r="V566" s="11" t="s">
        <v>593</v>
      </c>
      <c r="W566" s="11"/>
      <c r="X566" s="9"/>
      <c r="Y566" s="9"/>
      <c r="Z566" s="8" t="s">
        <v>461</v>
      </c>
      <c r="AA566" s="9"/>
      <c r="AB566" s="9" t="s">
        <v>2347</v>
      </c>
      <c r="AC566" s="46" t="s">
        <v>2351</v>
      </c>
    </row>
    <row r="567" spans="1:29" ht="33.75" customHeight="1">
      <c r="A567" s="9"/>
      <c r="B567" s="8" t="s">
        <v>109</v>
      </c>
      <c r="C567" s="9">
        <v>323400</v>
      </c>
      <c r="D567" s="9">
        <v>487300</v>
      </c>
      <c r="E567" s="9" t="s">
        <v>1950</v>
      </c>
      <c r="F567" s="9"/>
      <c r="G567" s="9"/>
      <c r="H567" s="9" t="s">
        <v>1951</v>
      </c>
      <c r="I567" s="8" t="s">
        <v>1952</v>
      </c>
      <c r="J567" s="9">
        <v>6</v>
      </c>
      <c r="K567" s="11"/>
      <c r="L567" s="11" t="s">
        <v>2</v>
      </c>
      <c r="M567" s="8" t="s">
        <v>592</v>
      </c>
      <c r="N567" s="8" t="s">
        <v>592</v>
      </c>
      <c r="O567" s="11" t="s">
        <v>592</v>
      </c>
      <c r="P567" s="22">
        <v>0</v>
      </c>
      <c r="Q567" s="12"/>
      <c r="R567" s="11" t="s">
        <v>237</v>
      </c>
      <c r="S567" s="8">
        <v>9</v>
      </c>
      <c r="T567" s="12"/>
      <c r="U567" s="11" t="s">
        <v>592</v>
      </c>
      <c r="V567" s="11" t="s">
        <v>593</v>
      </c>
      <c r="W567" s="11"/>
      <c r="X567" s="9"/>
      <c r="Y567" s="9"/>
      <c r="Z567" s="8" t="s">
        <v>1953</v>
      </c>
      <c r="AA567" s="9"/>
      <c r="AB567" s="9" t="s">
        <v>2347</v>
      </c>
      <c r="AC567" s="46" t="s">
        <v>2351</v>
      </c>
    </row>
    <row r="568" spans="1:29" ht="33.75" customHeight="1">
      <c r="A568" s="9"/>
      <c r="B568" s="8" t="s">
        <v>109</v>
      </c>
      <c r="C568" s="9">
        <v>333500</v>
      </c>
      <c r="D568" s="9">
        <v>484900</v>
      </c>
      <c r="E568" s="9" t="s">
        <v>1950</v>
      </c>
      <c r="F568" s="9"/>
      <c r="G568" s="9"/>
      <c r="H568" s="9" t="s">
        <v>1954</v>
      </c>
      <c r="I568" s="8" t="s">
        <v>1955</v>
      </c>
      <c r="J568" s="9">
        <v>5</v>
      </c>
      <c r="K568" s="11"/>
      <c r="L568" s="11" t="s">
        <v>2</v>
      </c>
      <c r="M568" s="8" t="s">
        <v>592</v>
      </c>
      <c r="N568" s="8" t="s">
        <v>592</v>
      </c>
      <c r="O568" s="11" t="s">
        <v>592</v>
      </c>
      <c r="P568" s="22">
        <v>0</v>
      </c>
      <c r="Q568" s="12"/>
      <c r="R568" s="11" t="s">
        <v>237</v>
      </c>
      <c r="S568" s="8">
        <v>5</v>
      </c>
      <c r="T568" s="12"/>
      <c r="U568" s="11" t="s">
        <v>592</v>
      </c>
      <c r="V568" s="11" t="s">
        <v>593</v>
      </c>
      <c r="W568" s="11"/>
      <c r="X568" s="9"/>
      <c r="Y568" s="9"/>
      <c r="Z568" s="8" t="s">
        <v>1953</v>
      </c>
      <c r="AA568" s="9"/>
      <c r="AB568" s="9" t="s">
        <v>2347</v>
      </c>
      <c r="AC568" s="46" t="s">
        <v>2351</v>
      </c>
    </row>
    <row r="569" spans="1:29" ht="33.75" customHeight="1">
      <c r="A569" s="9">
        <v>9</v>
      </c>
      <c r="B569" s="8" t="s">
        <v>1956</v>
      </c>
      <c r="C569" s="9">
        <v>321968</v>
      </c>
      <c r="D569" s="9">
        <v>529858</v>
      </c>
      <c r="E569" s="9" t="s">
        <v>1957</v>
      </c>
      <c r="F569" s="9"/>
      <c r="G569" s="9"/>
      <c r="H569" s="9" t="s">
        <v>321</v>
      </c>
      <c r="I569" s="8" t="s">
        <v>320</v>
      </c>
      <c r="J569" s="9">
        <v>70</v>
      </c>
      <c r="K569" s="11" t="s">
        <v>67</v>
      </c>
      <c r="L569" s="11" t="s">
        <v>2</v>
      </c>
      <c r="M569" s="8">
        <v>4740</v>
      </c>
      <c r="N569" s="8">
        <v>2175</v>
      </c>
      <c r="O569" s="11">
        <f>M569-N569</f>
        <v>2565</v>
      </c>
      <c r="P569" s="22">
        <v>15</v>
      </c>
      <c r="Q569" s="12">
        <f>P569/O569*1000</f>
        <v>5.8479532163742682</v>
      </c>
      <c r="R569" s="11" t="s">
        <v>599</v>
      </c>
      <c r="S569" s="8">
        <v>24</v>
      </c>
      <c r="T569" s="12">
        <f>S569/O569*1000</f>
        <v>9.3567251461988299</v>
      </c>
      <c r="U569" s="11" t="s">
        <v>592</v>
      </c>
      <c r="V569" s="11" t="s">
        <v>593</v>
      </c>
      <c r="W569" s="11" t="s">
        <v>14</v>
      </c>
      <c r="X569" s="9" t="s">
        <v>41</v>
      </c>
      <c r="Y569" s="9" t="s">
        <v>42</v>
      </c>
      <c r="Z569" s="8" t="s">
        <v>1958</v>
      </c>
      <c r="AA569" s="9"/>
      <c r="AB569" s="9" t="s">
        <v>2347</v>
      </c>
      <c r="AC569" s="46" t="s">
        <v>2351</v>
      </c>
    </row>
    <row r="570" spans="1:29" ht="33.75" customHeight="1">
      <c r="A570" s="9"/>
      <c r="B570" s="8" t="s">
        <v>109</v>
      </c>
      <c r="C570" s="9">
        <v>329100</v>
      </c>
      <c r="D570" s="9">
        <v>514100</v>
      </c>
      <c r="E570" s="9" t="s">
        <v>1959</v>
      </c>
      <c r="F570" s="9"/>
      <c r="G570" s="9"/>
      <c r="H570" s="9" t="s">
        <v>1960</v>
      </c>
      <c r="I570" s="8" t="s">
        <v>1961</v>
      </c>
      <c r="J570" s="9">
        <v>480</v>
      </c>
      <c r="K570" s="11"/>
      <c r="L570" s="11" t="s">
        <v>2</v>
      </c>
      <c r="M570" s="8" t="s">
        <v>592</v>
      </c>
      <c r="N570" s="8" t="s">
        <v>592</v>
      </c>
      <c r="O570" s="11" t="s">
        <v>592</v>
      </c>
      <c r="P570" s="22">
        <v>0</v>
      </c>
      <c r="Q570" s="12"/>
      <c r="R570" s="11" t="s">
        <v>599</v>
      </c>
      <c r="S570" s="8">
        <v>24</v>
      </c>
      <c r="T570" s="12"/>
      <c r="U570" s="11" t="s">
        <v>592</v>
      </c>
      <c r="V570" s="11" t="s">
        <v>593</v>
      </c>
      <c r="W570" s="11"/>
      <c r="X570" s="9"/>
      <c r="Y570" s="9"/>
      <c r="Z570" s="8" t="s">
        <v>1962</v>
      </c>
      <c r="AA570" s="9"/>
      <c r="AB570" s="9" t="s">
        <v>2347</v>
      </c>
      <c r="AC570" s="46" t="s">
        <v>2351</v>
      </c>
    </row>
    <row r="571" spans="1:29" ht="33.75" customHeight="1">
      <c r="A571" s="9"/>
      <c r="B571" s="8" t="s">
        <v>109</v>
      </c>
      <c r="C571" s="9">
        <v>334800</v>
      </c>
      <c r="D571" s="9">
        <v>515300</v>
      </c>
      <c r="E571" s="9" t="s">
        <v>1959</v>
      </c>
      <c r="F571" s="9"/>
      <c r="G571" s="9"/>
      <c r="H571" s="9" t="s">
        <v>1963</v>
      </c>
      <c r="I571" s="8" t="s">
        <v>1964</v>
      </c>
      <c r="J571" s="9">
        <v>720</v>
      </c>
      <c r="K571" s="11"/>
      <c r="L571" s="11" t="s">
        <v>2</v>
      </c>
      <c r="M571" s="8" t="s">
        <v>592</v>
      </c>
      <c r="N571" s="8" t="s">
        <v>592</v>
      </c>
      <c r="O571" s="11" t="s">
        <v>592</v>
      </c>
      <c r="P571" s="22">
        <v>0</v>
      </c>
      <c r="Q571" s="12"/>
      <c r="R571" s="11" t="s">
        <v>599</v>
      </c>
      <c r="S571" s="8">
        <v>48</v>
      </c>
      <c r="T571" s="12"/>
      <c r="U571" s="11" t="s">
        <v>592</v>
      </c>
      <c r="V571" s="11" t="s">
        <v>593</v>
      </c>
      <c r="W571" s="11"/>
      <c r="X571" s="9"/>
      <c r="Y571" s="9"/>
      <c r="Z571" s="8" t="s">
        <v>1962</v>
      </c>
      <c r="AA571" s="9"/>
      <c r="AB571" s="9" t="s">
        <v>2347</v>
      </c>
      <c r="AC571" s="46" t="s">
        <v>2351</v>
      </c>
    </row>
    <row r="572" spans="1:29" ht="33.75" customHeight="1">
      <c r="A572" s="9"/>
      <c r="B572" s="8" t="s">
        <v>109</v>
      </c>
      <c r="C572" s="9">
        <v>351200</v>
      </c>
      <c r="D572" s="9">
        <v>494300</v>
      </c>
      <c r="E572" s="9" t="s">
        <v>1965</v>
      </c>
      <c r="F572" s="9"/>
      <c r="G572" s="9"/>
      <c r="H572" s="9" t="s">
        <v>1447</v>
      </c>
      <c r="I572" s="8" t="s">
        <v>1448</v>
      </c>
      <c r="J572" s="9">
        <v>47</v>
      </c>
      <c r="K572" s="11"/>
      <c r="L572" s="11" t="s">
        <v>2</v>
      </c>
      <c r="M572" s="8">
        <v>10440</v>
      </c>
      <c r="N572" s="8">
        <v>5645</v>
      </c>
      <c r="O572" s="11">
        <f t="shared" ref="O572:O582" si="14">M572-N572</f>
        <v>4795</v>
      </c>
      <c r="P572" s="22">
        <v>3</v>
      </c>
      <c r="Q572" s="12">
        <f t="shared" ref="Q572:Q582" si="15">P572/O572*1000</f>
        <v>0.6256517205422315</v>
      </c>
      <c r="R572" s="11" t="s">
        <v>237</v>
      </c>
      <c r="S572" s="8">
        <v>12</v>
      </c>
      <c r="T572" s="12">
        <f t="shared" ref="T572:T582" si="16">S572/O572*1000</f>
        <v>2.502606882168926</v>
      </c>
      <c r="U572" s="11" t="s">
        <v>592</v>
      </c>
      <c r="V572" s="11" t="s">
        <v>594</v>
      </c>
      <c r="W572" s="11"/>
      <c r="X572" s="9"/>
      <c r="Y572" s="9"/>
      <c r="Z572" s="8" t="s">
        <v>463</v>
      </c>
      <c r="AA572" s="9"/>
      <c r="AB572" s="9" t="s">
        <v>2347</v>
      </c>
      <c r="AC572" s="46" t="s">
        <v>2351</v>
      </c>
    </row>
    <row r="573" spans="1:29" ht="33.75" customHeight="1">
      <c r="A573" s="9">
        <v>36</v>
      </c>
      <c r="B573" s="8" t="s">
        <v>109</v>
      </c>
      <c r="C573" s="9">
        <v>350600</v>
      </c>
      <c r="D573" s="9">
        <v>567200</v>
      </c>
      <c r="E573" s="9" t="s">
        <v>1966</v>
      </c>
      <c r="F573" s="9"/>
      <c r="G573" s="9"/>
      <c r="H573" s="9" t="s">
        <v>1967</v>
      </c>
      <c r="I573" s="8" t="s">
        <v>1968</v>
      </c>
      <c r="J573" s="9">
        <v>100</v>
      </c>
      <c r="K573" s="11" t="s">
        <v>1969</v>
      </c>
      <c r="L573" s="11" t="s">
        <v>2</v>
      </c>
      <c r="M573" s="8">
        <v>3775</v>
      </c>
      <c r="N573" s="8">
        <v>350</v>
      </c>
      <c r="O573" s="11">
        <f t="shared" si="14"/>
        <v>3425</v>
      </c>
      <c r="P573" s="22">
        <v>6</v>
      </c>
      <c r="Q573" s="12">
        <f t="shared" si="15"/>
        <v>1.751824817518248</v>
      </c>
      <c r="R573" s="11" t="s">
        <v>237</v>
      </c>
      <c r="S573" s="8">
        <v>145</v>
      </c>
      <c r="T573" s="12">
        <f t="shared" si="16"/>
        <v>42.335766423357668</v>
      </c>
      <c r="U573" s="11" t="s">
        <v>592</v>
      </c>
      <c r="V573" s="11" t="s">
        <v>593</v>
      </c>
      <c r="W573" s="11" t="s">
        <v>1970</v>
      </c>
      <c r="X573" s="9" t="s">
        <v>122</v>
      </c>
      <c r="Y573" s="9" t="s">
        <v>100</v>
      </c>
      <c r="Z573" s="8" t="s">
        <v>1971</v>
      </c>
      <c r="AA573" s="9"/>
      <c r="AB573" s="9" t="s">
        <v>2347</v>
      </c>
      <c r="AC573" s="46" t="s">
        <v>2351</v>
      </c>
    </row>
    <row r="574" spans="1:29" ht="33.75" customHeight="1">
      <c r="A574" s="9">
        <v>36</v>
      </c>
      <c r="B574" s="8" t="s">
        <v>109</v>
      </c>
      <c r="C574" s="9">
        <v>350500</v>
      </c>
      <c r="D574" s="9">
        <v>566900</v>
      </c>
      <c r="E574" s="9" t="s">
        <v>1966</v>
      </c>
      <c r="F574" s="9"/>
      <c r="G574" s="9"/>
      <c r="H574" s="9" t="s">
        <v>1972</v>
      </c>
      <c r="I574" s="8" t="s">
        <v>1973</v>
      </c>
      <c r="J574" s="9">
        <v>100</v>
      </c>
      <c r="K574" s="11" t="s">
        <v>1974</v>
      </c>
      <c r="L574" s="11" t="s">
        <v>2</v>
      </c>
      <c r="M574" s="8">
        <v>6645</v>
      </c>
      <c r="N574" s="8">
        <v>2235</v>
      </c>
      <c r="O574" s="11">
        <f t="shared" si="14"/>
        <v>4410</v>
      </c>
      <c r="P574" s="22">
        <v>4</v>
      </c>
      <c r="Q574" s="12">
        <f t="shared" si="15"/>
        <v>0.90702947845804993</v>
      </c>
      <c r="R574" s="11" t="s">
        <v>237</v>
      </c>
      <c r="S574" s="8">
        <v>56</v>
      </c>
      <c r="T574" s="12">
        <f t="shared" si="16"/>
        <v>12.698412698412698</v>
      </c>
      <c r="U574" s="11" t="s">
        <v>592</v>
      </c>
      <c r="V574" s="11" t="s">
        <v>593</v>
      </c>
      <c r="W574" s="11" t="s">
        <v>1970</v>
      </c>
      <c r="X574" s="9" t="s">
        <v>127</v>
      </c>
      <c r="Y574" s="9" t="s">
        <v>100</v>
      </c>
      <c r="Z574" s="8" t="s">
        <v>1975</v>
      </c>
      <c r="AA574" s="9"/>
      <c r="AB574" s="9" t="s">
        <v>2347</v>
      </c>
      <c r="AC574" s="46" t="s">
        <v>2351</v>
      </c>
    </row>
    <row r="575" spans="1:29" s="44" customFormat="1" ht="33.75" customHeight="1">
      <c r="A575" s="19">
        <v>14</v>
      </c>
      <c r="B575" s="19" t="s">
        <v>1956</v>
      </c>
      <c r="C575" s="19">
        <v>348206</v>
      </c>
      <c r="D575" s="19">
        <v>477131</v>
      </c>
      <c r="E575" s="19" t="s">
        <v>1976</v>
      </c>
      <c r="F575" s="19"/>
      <c r="G575" s="19"/>
      <c r="H575" s="19" t="s">
        <v>303</v>
      </c>
      <c r="I575" s="19" t="s">
        <v>80</v>
      </c>
      <c r="J575" s="19">
        <v>8</v>
      </c>
      <c r="K575" s="19" t="s">
        <v>1733</v>
      </c>
      <c r="L575" s="19" t="s">
        <v>2</v>
      </c>
      <c r="M575" s="19">
        <v>10980</v>
      </c>
      <c r="N575" s="19">
        <v>10160</v>
      </c>
      <c r="O575" s="19">
        <f t="shared" si="14"/>
        <v>820</v>
      </c>
      <c r="P575" s="52">
        <v>2</v>
      </c>
      <c r="Q575" s="53">
        <f t="shared" si="15"/>
        <v>2.4390243902439024</v>
      </c>
      <c r="R575" s="19" t="s">
        <v>237</v>
      </c>
      <c r="S575" s="19">
        <v>120</v>
      </c>
      <c r="T575" s="53">
        <f t="shared" si="16"/>
        <v>146.34146341463415</v>
      </c>
      <c r="U575" s="19" t="s">
        <v>592</v>
      </c>
      <c r="V575" s="19" t="s">
        <v>593</v>
      </c>
      <c r="W575" s="19" t="s">
        <v>20</v>
      </c>
      <c r="X575" s="19" t="s">
        <v>41</v>
      </c>
      <c r="Y575" s="19" t="s">
        <v>42</v>
      </c>
      <c r="Z575" s="19" t="s">
        <v>152</v>
      </c>
      <c r="AA575" s="19"/>
      <c r="AB575" s="19" t="s">
        <v>2347</v>
      </c>
      <c r="AC575" s="47" t="s">
        <v>2351</v>
      </c>
    </row>
    <row r="576" spans="1:29" ht="33.75" customHeight="1">
      <c r="A576" s="9">
        <v>32</v>
      </c>
      <c r="B576" s="8" t="s">
        <v>109</v>
      </c>
      <c r="C576" s="9">
        <v>347800</v>
      </c>
      <c r="D576" s="9">
        <v>476700</v>
      </c>
      <c r="E576" s="9" t="s">
        <v>1977</v>
      </c>
      <c r="F576" s="9"/>
      <c r="G576" s="9"/>
      <c r="H576" s="9" t="s">
        <v>1978</v>
      </c>
      <c r="I576" s="8" t="s">
        <v>80</v>
      </c>
      <c r="J576" s="9">
        <v>8</v>
      </c>
      <c r="K576" s="11" t="s">
        <v>1979</v>
      </c>
      <c r="L576" s="11" t="s">
        <v>2</v>
      </c>
      <c r="M576" s="8">
        <v>9216</v>
      </c>
      <c r="N576" s="8">
        <v>1780</v>
      </c>
      <c r="O576" s="11">
        <f t="shared" si="14"/>
        <v>7436</v>
      </c>
      <c r="P576" s="22">
        <v>3</v>
      </c>
      <c r="Q576" s="12">
        <f t="shared" si="15"/>
        <v>0.40344271113501884</v>
      </c>
      <c r="R576" s="11" t="s">
        <v>599</v>
      </c>
      <c r="S576" s="8">
        <v>107</v>
      </c>
      <c r="T576" s="12">
        <f t="shared" si="16"/>
        <v>14.389456697149006</v>
      </c>
      <c r="U576" s="11" t="s">
        <v>592</v>
      </c>
      <c r="V576" s="11" t="s">
        <v>593</v>
      </c>
      <c r="W576" s="11" t="s">
        <v>1980</v>
      </c>
      <c r="X576" s="9" t="s">
        <v>122</v>
      </c>
      <c r="Y576" s="9" t="s">
        <v>100</v>
      </c>
      <c r="Z576" s="8" t="s">
        <v>1981</v>
      </c>
      <c r="AA576" s="9"/>
      <c r="AB576" s="9" t="s">
        <v>2347</v>
      </c>
      <c r="AC576" s="46" t="s">
        <v>2351</v>
      </c>
    </row>
    <row r="577" spans="1:29" ht="33.75" customHeight="1">
      <c r="A577" s="9">
        <v>17</v>
      </c>
      <c r="B577" s="8" t="s">
        <v>109</v>
      </c>
      <c r="C577" s="9">
        <v>355000</v>
      </c>
      <c r="D577" s="9">
        <v>559300</v>
      </c>
      <c r="E577" s="9" t="s">
        <v>1982</v>
      </c>
      <c r="F577" s="9"/>
      <c r="G577" s="9"/>
      <c r="H577" s="9" t="s">
        <v>1983</v>
      </c>
      <c r="I577" s="8" t="s">
        <v>1984</v>
      </c>
      <c r="J577" s="9">
        <v>130</v>
      </c>
      <c r="K577" s="11" t="s">
        <v>1985</v>
      </c>
      <c r="L577" s="11" t="s">
        <v>1986</v>
      </c>
      <c r="M577" s="8">
        <v>3040</v>
      </c>
      <c r="N577" s="8">
        <v>1600</v>
      </c>
      <c r="O577" s="11">
        <f t="shared" si="14"/>
        <v>1440</v>
      </c>
      <c r="P577" s="22">
        <v>4</v>
      </c>
      <c r="Q577" s="12">
        <f t="shared" si="15"/>
        <v>2.7777777777777777</v>
      </c>
      <c r="R577" s="11" t="s">
        <v>599</v>
      </c>
      <c r="S577" s="8">
        <v>27</v>
      </c>
      <c r="T577" s="12">
        <f t="shared" si="16"/>
        <v>18.75</v>
      </c>
      <c r="U577" s="11" t="s">
        <v>592</v>
      </c>
      <c r="V577" s="11" t="s">
        <v>594</v>
      </c>
      <c r="W577" s="11" t="s">
        <v>1987</v>
      </c>
      <c r="X577" s="9" t="s">
        <v>41</v>
      </c>
      <c r="Y577" s="9" t="s">
        <v>42</v>
      </c>
      <c r="Z577" s="8" t="s">
        <v>1988</v>
      </c>
      <c r="AA577" s="9"/>
      <c r="AB577" s="9" t="s">
        <v>2347</v>
      </c>
      <c r="AC577" s="46" t="s">
        <v>2351</v>
      </c>
    </row>
    <row r="578" spans="1:29" ht="33.75" customHeight="1">
      <c r="A578" s="9">
        <v>43</v>
      </c>
      <c r="B578" s="8" t="s">
        <v>109</v>
      </c>
      <c r="C578" s="9">
        <v>349000</v>
      </c>
      <c r="D578" s="9">
        <v>569000</v>
      </c>
      <c r="E578" s="9" t="s">
        <v>1989</v>
      </c>
      <c r="F578" s="9"/>
      <c r="G578" s="9"/>
      <c r="H578" s="9" t="s">
        <v>596</v>
      </c>
      <c r="I578" s="8" t="s">
        <v>174</v>
      </c>
      <c r="J578" s="9">
        <v>108</v>
      </c>
      <c r="K578" s="11"/>
      <c r="L578" s="11" t="s">
        <v>183</v>
      </c>
      <c r="M578" s="8">
        <v>1145</v>
      </c>
      <c r="N578" s="8">
        <v>885</v>
      </c>
      <c r="O578" s="11">
        <f t="shared" si="14"/>
        <v>260</v>
      </c>
      <c r="P578" s="22">
        <v>2</v>
      </c>
      <c r="Q578" s="12">
        <f t="shared" si="15"/>
        <v>7.6923076923076925</v>
      </c>
      <c r="R578" s="11" t="s">
        <v>237</v>
      </c>
      <c r="S578" s="8">
        <v>4</v>
      </c>
      <c r="T578" s="12">
        <f t="shared" si="16"/>
        <v>15.384615384615385</v>
      </c>
      <c r="U578" s="11" t="s">
        <v>592</v>
      </c>
      <c r="V578" s="11" t="s">
        <v>593</v>
      </c>
      <c r="W578" s="11" t="s">
        <v>178</v>
      </c>
      <c r="X578" s="9" t="s">
        <v>180</v>
      </c>
      <c r="Y578" s="9"/>
      <c r="Z578" s="8" t="s">
        <v>1990</v>
      </c>
      <c r="AA578" s="9"/>
      <c r="AB578" s="9" t="s">
        <v>2347</v>
      </c>
      <c r="AC578" s="46" t="s">
        <v>2351</v>
      </c>
    </row>
    <row r="579" spans="1:29" ht="33.75" customHeight="1">
      <c r="A579" s="9">
        <v>43</v>
      </c>
      <c r="B579" s="8" t="s">
        <v>109</v>
      </c>
      <c r="C579" s="9">
        <v>350400</v>
      </c>
      <c r="D579" s="9">
        <v>566700</v>
      </c>
      <c r="E579" s="9" t="s">
        <v>1989</v>
      </c>
      <c r="F579" s="9"/>
      <c r="G579" s="9"/>
      <c r="H579" s="9" t="s">
        <v>595</v>
      </c>
      <c r="I579" s="8" t="s">
        <v>91</v>
      </c>
      <c r="J579" s="9">
        <v>100</v>
      </c>
      <c r="K579" s="11"/>
      <c r="L579" s="11" t="s">
        <v>183</v>
      </c>
      <c r="M579" s="8">
        <v>630</v>
      </c>
      <c r="N579" s="8">
        <v>360</v>
      </c>
      <c r="O579" s="11">
        <f t="shared" si="14"/>
        <v>270</v>
      </c>
      <c r="P579" s="22">
        <v>2</v>
      </c>
      <c r="Q579" s="12">
        <f t="shared" si="15"/>
        <v>7.4074074074074074</v>
      </c>
      <c r="R579" s="11" t="s">
        <v>237</v>
      </c>
      <c r="S579" s="8">
        <v>6</v>
      </c>
      <c r="T579" s="12">
        <f t="shared" si="16"/>
        <v>22.222222222222221</v>
      </c>
      <c r="U579" s="11" t="s">
        <v>592</v>
      </c>
      <c r="V579" s="11" t="s">
        <v>593</v>
      </c>
      <c r="W579" s="11" t="s">
        <v>178</v>
      </c>
      <c r="X579" s="9" t="s">
        <v>180</v>
      </c>
      <c r="Y579" s="9"/>
      <c r="Z579" s="8" t="s">
        <v>1990</v>
      </c>
      <c r="AA579" s="9"/>
      <c r="AB579" s="9" t="s">
        <v>2347</v>
      </c>
      <c r="AC579" s="46" t="s">
        <v>2351</v>
      </c>
    </row>
    <row r="580" spans="1:29" ht="33.75" customHeight="1">
      <c r="A580" s="9">
        <v>22</v>
      </c>
      <c r="B580" s="8" t="s">
        <v>109</v>
      </c>
      <c r="C580" s="9">
        <v>351000</v>
      </c>
      <c r="D580" s="9">
        <v>565600</v>
      </c>
      <c r="E580" s="9" t="s">
        <v>1991</v>
      </c>
      <c r="F580" s="9"/>
      <c r="G580" s="9"/>
      <c r="H580" s="9" t="s">
        <v>1992</v>
      </c>
      <c r="I580" s="8" t="s">
        <v>91</v>
      </c>
      <c r="J580" s="9">
        <v>85</v>
      </c>
      <c r="K580" s="11">
        <v>20</v>
      </c>
      <c r="L580" s="11" t="s">
        <v>2</v>
      </c>
      <c r="M580" s="8">
        <v>1105</v>
      </c>
      <c r="N580" s="8">
        <v>105</v>
      </c>
      <c r="O580" s="11">
        <f t="shared" si="14"/>
        <v>1000</v>
      </c>
      <c r="P580" s="22">
        <v>23</v>
      </c>
      <c r="Q580" s="12">
        <f t="shared" si="15"/>
        <v>23</v>
      </c>
      <c r="R580" s="11" t="s">
        <v>237</v>
      </c>
      <c r="S580" s="8">
        <v>19</v>
      </c>
      <c r="T580" s="12">
        <f t="shared" si="16"/>
        <v>19</v>
      </c>
      <c r="U580" s="11" t="s">
        <v>592</v>
      </c>
      <c r="V580" s="11" t="s">
        <v>593</v>
      </c>
      <c r="W580" s="11" t="s">
        <v>1993</v>
      </c>
      <c r="X580" s="9" t="s">
        <v>41</v>
      </c>
      <c r="Y580" s="9" t="s">
        <v>42</v>
      </c>
      <c r="Z580" s="8" t="s">
        <v>1994</v>
      </c>
      <c r="AA580" s="9"/>
      <c r="AB580" s="9" t="s">
        <v>2347</v>
      </c>
      <c r="AC580" s="46" t="s">
        <v>2351</v>
      </c>
    </row>
    <row r="581" spans="1:29" ht="33.75" customHeight="1">
      <c r="A581" s="9">
        <v>22</v>
      </c>
      <c r="B581" s="8" t="s">
        <v>109</v>
      </c>
      <c r="C581" s="9">
        <v>351000</v>
      </c>
      <c r="D581" s="9">
        <v>565700</v>
      </c>
      <c r="E581" s="9" t="s">
        <v>1991</v>
      </c>
      <c r="F581" s="9"/>
      <c r="G581" s="9"/>
      <c r="H581" s="9" t="s">
        <v>1995</v>
      </c>
      <c r="I581" s="8"/>
      <c r="J581" s="9">
        <v>85</v>
      </c>
      <c r="K581" s="11">
        <v>21</v>
      </c>
      <c r="L581" s="11" t="s">
        <v>2</v>
      </c>
      <c r="M581" s="8">
        <v>1190</v>
      </c>
      <c r="N581" s="8">
        <v>150</v>
      </c>
      <c r="O581" s="11">
        <f t="shared" si="14"/>
        <v>1040</v>
      </c>
      <c r="P581" s="22">
        <v>21</v>
      </c>
      <c r="Q581" s="12">
        <f t="shared" si="15"/>
        <v>20.192307692307693</v>
      </c>
      <c r="R581" s="11" t="s">
        <v>237</v>
      </c>
      <c r="S581" s="8">
        <v>39</v>
      </c>
      <c r="T581" s="12">
        <f t="shared" si="16"/>
        <v>37.5</v>
      </c>
      <c r="U581" s="11" t="s">
        <v>592</v>
      </c>
      <c r="V581" s="11" t="s">
        <v>593</v>
      </c>
      <c r="W581" s="11"/>
      <c r="X581" s="9"/>
      <c r="Y581" s="9"/>
      <c r="Z581" s="8" t="s">
        <v>1994</v>
      </c>
      <c r="AA581" s="9"/>
      <c r="AB581" s="9" t="s">
        <v>2347</v>
      </c>
      <c r="AC581" s="46" t="s">
        <v>2351</v>
      </c>
    </row>
    <row r="582" spans="1:29" ht="33.75" customHeight="1">
      <c r="A582" s="9">
        <v>22</v>
      </c>
      <c r="B582" s="8" t="s">
        <v>109</v>
      </c>
      <c r="C582" s="9">
        <v>351000</v>
      </c>
      <c r="D582" s="9">
        <v>565800</v>
      </c>
      <c r="E582" s="9" t="s">
        <v>1991</v>
      </c>
      <c r="F582" s="9"/>
      <c r="G582" s="9"/>
      <c r="H582" s="9" t="s">
        <v>1996</v>
      </c>
      <c r="I582" s="8"/>
      <c r="J582" s="9">
        <v>85</v>
      </c>
      <c r="K582" s="11">
        <v>19</v>
      </c>
      <c r="L582" s="11" t="s">
        <v>2</v>
      </c>
      <c r="M582" s="8">
        <v>977</v>
      </c>
      <c r="N582" s="8">
        <v>187</v>
      </c>
      <c r="O582" s="11">
        <f t="shared" si="14"/>
        <v>790</v>
      </c>
      <c r="P582" s="22">
        <v>30</v>
      </c>
      <c r="Q582" s="12">
        <f t="shared" si="15"/>
        <v>37.974683544303801</v>
      </c>
      <c r="R582" s="11" t="s">
        <v>237</v>
      </c>
      <c r="S582" s="8">
        <v>13</v>
      </c>
      <c r="T582" s="12">
        <f t="shared" si="16"/>
        <v>16.455696202531648</v>
      </c>
      <c r="U582" s="11" t="s">
        <v>592</v>
      </c>
      <c r="V582" s="11" t="s">
        <v>593</v>
      </c>
      <c r="W582" s="11"/>
      <c r="X582" s="9"/>
      <c r="Y582" s="9"/>
      <c r="Z582" s="8" t="s">
        <v>1994</v>
      </c>
      <c r="AA582" s="9"/>
      <c r="AB582" s="9" t="s">
        <v>2347</v>
      </c>
      <c r="AC582" s="46" t="s">
        <v>2351</v>
      </c>
    </row>
    <row r="583" spans="1:29" ht="33.75" customHeight="1">
      <c r="A583" s="9"/>
      <c r="B583" s="8" t="s">
        <v>109</v>
      </c>
      <c r="C583" s="9">
        <v>349700</v>
      </c>
      <c r="D583" s="9">
        <v>468800</v>
      </c>
      <c r="E583" s="9" t="s">
        <v>1997</v>
      </c>
      <c r="F583" s="9"/>
      <c r="G583" s="9"/>
      <c r="H583" s="9" t="s">
        <v>1998</v>
      </c>
      <c r="I583" s="8" t="s">
        <v>1999</v>
      </c>
      <c r="J583" s="9">
        <v>50</v>
      </c>
      <c r="K583" s="11"/>
      <c r="L583" s="11" t="s">
        <v>2</v>
      </c>
      <c r="M583" s="8" t="s">
        <v>592</v>
      </c>
      <c r="N583" s="8" t="s">
        <v>592</v>
      </c>
      <c r="O583" s="11" t="s">
        <v>592</v>
      </c>
      <c r="P583" s="22">
        <v>1</v>
      </c>
      <c r="Q583" s="12"/>
      <c r="R583" s="11" t="s">
        <v>237</v>
      </c>
      <c r="S583" s="8">
        <v>34</v>
      </c>
      <c r="T583" s="12"/>
      <c r="U583" s="11" t="s">
        <v>592</v>
      </c>
      <c r="V583" s="11" t="s">
        <v>594</v>
      </c>
      <c r="W583" s="11"/>
      <c r="X583" s="9"/>
      <c r="Y583" s="9"/>
      <c r="Z583" s="8" t="s">
        <v>2000</v>
      </c>
      <c r="AA583" s="9"/>
      <c r="AB583" s="9" t="s">
        <v>2347</v>
      </c>
      <c r="AC583" s="46" t="s">
        <v>2351</v>
      </c>
    </row>
    <row r="584" spans="1:29" ht="33.75" customHeight="1">
      <c r="A584" s="9"/>
      <c r="B584" s="8" t="s">
        <v>109</v>
      </c>
      <c r="C584" s="9">
        <v>327000</v>
      </c>
      <c r="D584" s="9">
        <v>474300</v>
      </c>
      <c r="E584" s="9" t="s">
        <v>2001</v>
      </c>
      <c r="F584" s="9"/>
      <c r="G584" s="9"/>
      <c r="H584" s="9" t="s">
        <v>1446</v>
      </c>
      <c r="I584" s="8" t="s">
        <v>532</v>
      </c>
      <c r="J584" s="9">
        <v>33</v>
      </c>
      <c r="K584" s="11"/>
      <c r="L584" s="11" t="s">
        <v>2</v>
      </c>
      <c r="M584" s="8" t="s">
        <v>592</v>
      </c>
      <c r="N584" s="8" t="s">
        <v>592</v>
      </c>
      <c r="O584" s="11" t="s">
        <v>592</v>
      </c>
      <c r="P584" s="22">
        <v>0</v>
      </c>
      <c r="Q584" s="12"/>
      <c r="R584" s="11" t="s">
        <v>237</v>
      </c>
      <c r="S584" s="8">
        <v>44</v>
      </c>
      <c r="T584" s="12"/>
      <c r="U584" s="11" t="s">
        <v>592</v>
      </c>
      <c r="V584" s="11" t="s">
        <v>593</v>
      </c>
      <c r="W584" s="11"/>
      <c r="X584" s="9"/>
      <c r="Y584" s="9"/>
      <c r="Z584" s="8" t="s">
        <v>2002</v>
      </c>
      <c r="AA584" s="9"/>
      <c r="AB584" s="9" t="s">
        <v>2347</v>
      </c>
      <c r="AC584" s="46" t="s">
        <v>2351</v>
      </c>
    </row>
    <row r="585" spans="1:29" ht="33.75" customHeight="1">
      <c r="A585" s="9"/>
      <c r="B585" s="8" t="s">
        <v>109</v>
      </c>
      <c r="C585" s="9">
        <v>335100</v>
      </c>
      <c r="D585" s="9">
        <v>480000</v>
      </c>
      <c r="E585" s="9" t="s">
        <v>2001</v>
      </c>
      <c r="F585" s="9"/>
      <c r="G585" s="9"/>
      <c r="H585" s="9" t="s">
        <v>2003</v>
      </c>
      <c r="I585" s="8" t="s">
        <v>531</v>
      </c>
      <c r="J585" s="9">
        <v>8</v>
      </c>
      <c r="K585" s="11"/>
      <c r="L585" s="11" t="s">
        <v>2</v>
      </c>
      <c r="M585" s="8" t="s">
        <v>592</v>
      </c>
      <c r="N585" s="8" t="s">
        <v>592</v>
      </c>
      <c r="O585" s="11" t="s">
        <v>592</v>
      </c>
      <c r="P585" s="22">
        <v>0</v>
      </c>
      <c r="Q585" s="12"/>
      <c r="R585" s="11" t="s">
        <v>237</v>
      </c>
      <c r="S585" s="8">
        <v>73</v>
      </c>
      <c r="T585" s="12"/>
      <c r="U585" s="11" t="s">
        <v>592</v>
      </c>
      <c r="V585" s="11" t="s">
        <v>594</v>
      </c>
      <c r="W585" s="11"/>
      <c r="X585" s="9"/>
      <c r="Y585" s="9"/>
      <c r="Z585" s="8" t="s">
        <v>2002</v>
      </c>
      <c r="AA585" s="9"/>
      <c r="AB585" s="9" t="s">
        <v>2347</v>
      </c>
      <c r="AC585" s="46" t="s">
        <v>2351</v>
      </c>
    </row>
    <row r="586" spans="1:29" ht="33.75" customHeight="1">
      <c r="A586" s="9"/>
      <c r="B586" s="8" t="s">
        <v>109</v>
      </c>
      <c r="C586" s="9">
        <v>347700</v>
      </c>
      <c r="D586" s="9">
        <v>476400</v>
      </c>
      <c r="E586" s="9" t="s">
        <v>2004</v>
      </c>
      <c r="F586" s="9"/>
      <c r="G586" s="9"/>
      <c r="H586" s="9" t="s">
        <v>2005</v>
      </c>
      <c r="I586" s="8" t="s">
        <v>80</v>
      </c>
      <c r="J586" s="9">
        <v>8</v>
      </c>
      <c r="K586" s="11"/>
      <c r="L586" s="11" t="s">
        <v>2</v>
      </c>
      <c r="M586" s="8" t="s">
        <v>592</v>
      </c>
      <c r="N586" s="8" t="s">
        <v>592</v>
      </c>
      <c r="O586" s="11" t="s">
        <v>592</v>
      </c>
      <c r="P586" s="22">
        <v>0</v>
      </c>
      <c r="Q586" s="12"/>
      <c r="R586" s="11" t="s">
        <v>599</v>
      </c>
      <c r="S586" s="8">
        <v>14</v>
      </c>
      <c r="T586" s="12"/>
      <c r="U586" s="11" t="s">
        <v>592</v>
      </c>
      <c r="V586" s="11" t="s">
        <v>593</v>
      </c>
      <c r="W586" s="11"/>
      <c r="X586" s="9"/>
      <c r="Y586" s="9"/>
      <c r="Z586" s="8" t="s">
        <v>2006</v>
      </c>
      <c r="AA586" s="9"/>
      <c r="AB586" s="9" t="s">
        <v>2347</v>
      </c>
      <c r="AC586" s="46" t="s">
        <v>2351</v>
      </c>
    </row>
    <row r="587" spans="1:29" ht="33.75" customHeight="1">
      <c r="A587" s="9"/>
      <c r="B587" s="8" t="s">
        <v>109</v>
      </c>
      <c r="C587" s="9">
        <v>349700</v>
      </c>
      <c r="D587" s="9">
        <v>476400</v>
      </c>
      <c r="E587" s="9" t="s">
        <v>2004</v>
      </c>
      <c r="F587" s="9"/>
      <c r="G587" s="9"/>
      <c r="H587" s="9" t="s">
        <v>2007</v>
      </c>
      <c r="I587" s="8" t="s">
        <v>2008</v>
      </c>
      <c r="J587" s="9">
        <v>30</v>
      </c>
      <c r="K587" s="11"/>
      <c r="L587" s="11" t="s">
        <v>2</v>
      </c>
      <c r="M587" s="8" t="s">
        <v>592</v>
      </c>
      <c r="N587" s="8" t="s">
        <v>592</v>
      </c>
      <c r="O587" s="11" t="s">
        <v>592</v>
      </c>
      <c r="P587" s="22">
        <v>0</v>
      </c>
      <c r="Q587" s="12"/>
      <c r="R587" s="11" t="s">
        <v>237</v>
      </c>
      <c r="S587" s="8">
        <v>11</v>
      </c>
      <c r="T587" s="12"/>
      <c r="U587" s="11" t="s">
        <v>592</v>
      </c>
      <c r="V587" s="11" t="s">
        <v>593</v>
      </c>
      <c r="W587" s="11"/>
      <c r="X587" s="9"/>
      <c r="Y587" s="9"/>
      <c r="Z587" s="8" t="s">
        <v>2006</v>
      </c>
      <c r="AA587" s="9"/>
      <c r="AB587" s="9" t="s">
        <v>2347</v>
      </c>
      <c r="AC587" s="46" t="s">
        <v>2351</v>
      </c>
    </row>
    <row r="588" spans="1:29" ht="33.75" customHeight="1">
      <c r="A588" s="9"/>
      <c r="B588" s="8" t="s">
        <v>109</v>
      </c>
      <c r="C588" s="9">
        <v>343700</v>
      </c>
      <c r="D588" s="9">
        <v>486200</v>
      </c>
      <c r="E588" s="9" t="s">
        <v>2004</v>
      </c>
      <c r="F588" s="9"/>
      <c r="G588" s="9"/>
      <c r="H588" s="9" t="s">
        <v>2009</v>
      </c>
      <c r="I588" s="8" t="s">
        <v>2010</v>
      </c>
      <c r="J588" s="9">
        <v>70</v>
      </c>
      <c r="K588" s="11"/>
      <c r="L588" s="11" t="s">
        <v>2</v>
      </c>
      <c r="M588" s="8" t="s">
        <v>592</v>
      </c>
      <c r="N588" s="8" t="s">
        <v>592</v>
      </c>
      <c r="O588" s="11" t="s">
        <v>592</v>
      </c>
      <c r="P588" s="22">
        <v>0</v>
      </c>
      <c r="Q588" s="12"/>
      <c r="R588" s="11" t="s">
        <v>237</v>
      </c>
      <c r="S588" s="8">
        <v>16</v>
      </c>
      <c r="T588" s="12"/>
      <c r="U588" s="11" t="s">
        <v>592</v>
      </c>
      <c r="V588" s="11" t="s">
        <v>593</v>
      </c>
      <c r="W588" s="11"/>
      <c r="X588" s="9"/>
      <c r="Y588" s="9"/>
      <c r="Z588" s="8" t="s">
        <v>2006</v>
      </c>
      <c r="AA588" s="9"/>
      <c r="AB588" s="9" t="s">
        <v>2347</v>
      </c>
      <c r="AC588" s="46" t="s">
        <v>2351</v>
      </c>
    </row>
    <row r="589" spans="1:29" ht="33.75" customHeight="1">
      <c r="A589" s="9"/>
      <c r="B589" s="8" t="s">
        <v>109</v>
      </c>
      <c r="C589" s="9">
        <v>346700</v>
      </c>
      <c r="D589" s="9">
        <v>489100</v>
      </c>
      <c r="E589" s="9" t="s">
        <v>2004</v>
      </c>
      <c r="F589" s="9"/>
      <c r="G589" s="9"/>
      <c r="H589" s="9" t="s">
        <v>2011</v>
      </c>
      <c r="I589" s="8" t="s">
        <v>1129</v>
      </c>
      <c r="J589" s="9">
        <v>10</v>
      </c>
      <c r="K589" s="11"/>
      <c r="L589" s="11" t="s">
        <v>2</v>
      </c>
      <c r="M589" s="8" t="s">
        <v>592</v>
      </c>
      <c r="N589" s="8" t="s">
        <v>592</v>
      </c>
      <c r="O589" s="11" t="s">
        <v>592</v>
      </c>
      <c r="P589" s="22">
        <v>0</v>
      </c>
      <c r="Q589" s="12"/>
      <c r="R589" s="11" t="s">
        <v>237</v>
      </c>
      <c r="S589" s="8">
        <v>22</v>
      </c>
      <c r="T589" s="12"/>
      <c r="U589" s="11" t="s">
        <v>592</v>
      </c>
      <c r="V589" s="11" t="s">
        <v>593</v>
      </c>
      <c r="W589" s="11"/>
      <c r="X589" s="9"/>
      <c r="Y589" s="9"/>
      <c r="Z589" s="8" t="s">
        <v>2006</v>
      </c>
      <c r="AA589" s="9"/>
      <c r="AB589" s="9" t="s">
        <v>2347</v>
      </c>
      <c r="AC589" s="46" t="s">
        <v>2351</v>
      </c>
    </row>
    <row r="590" spans="1:29" ht="33.75" customHeight="1">
      <c r="A590" s="9"/>
      <c r="B590" s="8" t="s">
        <v>109</v>
      </c>
      <c r="C590" s="9">
        <v>343400</v>
      </c>
      <c r="D590" s="9">
        <v>482200</v>
      </c>
      <c r="E590" s="9" t="s">
        <v>2004</v>
      </c>
      <c r="F590" s="9"/>
      <c r="G590" s="9"/>
      <c r="H590" s="9" t="s">
        <v>2012</v>
      </c>
      <c r="I590" s="8" t="s">
        <v>1130</v>
      </c>
      <c r="J590" s="9">
        <v>10</v>
      </c>
      <c r="K590" s="11"/>
      <c r="L590" s="11" t="s">
        <v>2</v>
      </c>
      <c r="M590" s="8" t="s">
        <v>592</v>
      </c>
      <c r="N590" s="8" t="s">
        <v>592</v>
      </c>
      <c r="O590" s="11" t="s">
        <v>592</v>
      </c>
      <c r="P590" s="22">
        <v>0</v>
      </c>
      <c r="Q590" s="12"/>
      <c r="R590" s="11" t="s">
        <v>237</v>
      </c>
      <c r="S590" s="8">
        <v>12</v>
      </c>
      <c r="T590" s="12"/>
      <c r="U590" s="11" t="s">
        <v>592</v>
      </c>
      <c r="V590" s="11" t="s">
        <v>593</v>
      </c>
      <c r="W590" s="11"/>
      <c r="X590" s="9"/>
      <c r="Y590" s="9"/>
      <c r="Z590" s="8" t="s">
        <v>2006</v>
      </c>
      <c r="AA590" s="9"/>
      <c r="AB590" s="9" t="s">
        <v>2347</v>
      </c>
      <c r="AC590" s="46" t="s">
        <v>2351</v>
      </c>
    </row>
    <row r="591" spans="1:29" ht="33.75" customHeight="1">
      <c r="A591" s="9"/>
      <c r="B591" s="8" t="s">
        <v>109</v>
      </c>
      <c r="C591" s="9">
        <v>346100</v>
      </c>
      <c r="D591" s="9">
        <v>482500</v>
      </c>
      <c r="E591" s="9" t="s">
        <v>2004</v>
      </c>
      <c r="F591" s="9"/>
      <c r="G591" s="9"/>
      <c r="H591" s="9" t="s">
        <v>2013</v>
      </c>
      <c r="I591" s="8" t="s">
        <v>1128</v>
      </c>
      <c r="J591" s="9">
        <v>5</v>
      </c>
      <c r="K591" s="11"/>
      <c r="L591" s="11" t="s">
        <v>2</v>
      </c>
      <c r="M591" s="8" t="s">
        <v>592</v>
      </c>
      <c r="N591" s="8" t="s">
        <v>592</v>
      </c>
      <c r="O591" s="11" t="s">
        <v>592</v>
      </c>
      <c r="P591" s="22">
        <v>0</v>
      </c>
      <c r="Q591" s="12"/>
      <c r="R591" s="11" t="s">
        <v>237</v>
      </c>
      <c r="S591" s="8">
        <v>14</v>
      </c>
      <c r="T591" s="12"/>
      <c r="U591" s="11" t="s">
        <v>592</v>
      </c>
      <c r="V591" s="11" t="s">
        <v>593</v>
      </c>
      <c r="W591" s="11"/>
      <c r="X591" s="9"/>
      <c r="Y591" s="9"/>
      <c r="Z591" s="8" t="s">
        <v>2006</v>
      </c>
      <c r="AA591" s="9"/>
      <c r="AB591" s="9" t="s">
        <v>2347</v>
      </c>
      <c r="AC591" s="46" t="s">
        <v>2351</v>
      </c>
    </row>
    <row r="592" spans="1:29" ht="33.75" customHeight="1">
      <c r="A592" s="9"/>
      <c r="B592" s="8" t="s">
        <v>109</v>
      </c>
      <c r="C592" s="9">
        <v>349700</v>
      </c>
      <c r="D592" s="9">
        <v>476500</v>
      </c>
      <c r="E592" s="9" t="s">
        <v>2004</v>
      </c>
      <c r="F592" s="9"/>
      <c r="G592" s="9"/>
      <c r="H592" s="9" t="s">
        <v>2014</v>
      </c>
      <c r="I592" s="8" t="s">
        <v>2015</v>
      </c>
      <c r="J592" s="9">
        <v>30</v>
      </c>
      <c r="K592" s="11"/>
      <c r="L592" s="11" t="s">
        <v>2</v>
      </c>
      <c r="M592" s="8" t="s">
        <v>592</v>
      </c>
      <c r="N592" s="8" t="s">
        <v>592</v>
      </c>
      <c r="O592" s="11" t="s">
        <v>592</v>
      </c>
      <c r="P592" s="22">
        <v>0</v>
      </c>
      <c r="Q592" s="12"/>
      <c r="R592" s="11" t="s">
        <v>237</v>
      </c>
      <c r="S592" s="8">
        <v>14</v>
      </c>
      <c r="T592" s="12"/>
      <c r="U592" s="11" t="s">
        <v>592</v>
      </c>
      <c r="V592" s="11" t="s">
        <v>593</v>
      </c>
      <c r="W592" s="11"/>
      <c r="X592" s="9"/>
      <c r="Y592" s="9"/>
      <c r="Z592" s="8" t="s">
        <v>2006</v>
      </c>
      <c r="AA592" s="9"/>
      <c r="AB592" s="9" t="s">
        <v>2347</v>
      </c>
      <c r="AC592" s="46" t="s">
        <v>2351</v>
      </c>
    </row>
    <row r="593" spans="1:29" s="44" customFormat="1" ht="33.75" customHeight="1">
      <c r="A593" s="19">
        <v>82</v>
      </c>
      <c r="B593" s="19" t="s">
        <v>504</v>
      </c>
      <c r="C593" s="19">
        <v>347200</v>
      </c>
      <c r="D593" s="19">
        <v>477300</v>
      </c>
      <c r="E593" s="19" t="s">
        <v>2016</v>
      </c>
      <c r="F593" s="19"/>
      <c r="G593" s="19"/>
      <c r="H593" s="19" t="s">
        <v>2017</v>
      </c>
      <c r="I593" s="19" t="s">
        <v>387</v>
      </c>
      <c r="J593" s="19">
        <v>10</v>
      </c>
      <c r="K593" s="19" t="s">
        <v>2018</v>
      </c>
      <c r="L593" s="19" t="s">
        <v>2</v>
      </c>
      <c r="M593" s="19" t="s">
        <v>592</v>
      </c>
      <c r="N593" s="19" t="s">
        <v>592</v>
      </c>
      <c r="O593" s="19" t="s">
        <v>592</v>
      </c>
      <c r="P593" s="52">
        <v>3</v>
      </c>
      <c r="Q593" s="53"/>
      <c r="R593" s="19" t="s">
        <v>40</v>
      </c>
      <c r="S593" s="19">
        <v>5</v>
      </c>
      <c r="T593" s="53"/>
      <c r="U593" s="19" t="s">
        <v>592</v>
      </c>
      <c r="V593" s="19" t="s">
        <v>593</v>
      </c>
      <c r="W593" s="19" t="s">
        <v>386</v>
      </c>
      <c r="X593" s="19" t="s">
        <v>389</v>
      </c>
      <c r="Y593" s="19" t="s">
        <v>43</v>
      </c>
      <c r="Z593" s="19" t="s">
        <v>388</v>
      </c>
      <c r="AA593" s="19"/>
      <c r="AB593" s="19" t="s">
        <v>2347</v>
      </c>
      <c r="AC593" s="47" t="s">
        <v>2351</v>
      </c>
    </row>
    <row r="594" spans="1:29" ht="33.75" customHeight="1">
      <c r="A594" s="9">
        <v>82</v>
      </c>
      <c r="B594" s="8" t="s">
        <v>109</v>
      </c>
      <c r="C594" s="9">
        <v>318000</v>
      </c>
      <c r="D594" s="9">
        <v>466600</v>
      </c>
      <c r="E594" s="9" t="s">
        <v>2016</v>
      </c>
      <c r="F594" s="9"/>
      <c r="G594" s="9"/>
      <c r="H594" s="9" t="s">
        <v>2019</v>
      </c>
      <c r="I594" s="8" t="s">
        <v>2020</v>
      </c>
      <c r="J594" s="9">
        <v>0</v>
      </c>
      <c r="K594" s="11"/>
      <c r="L594" s="11" t="s">
        <v>2</v>
      </c>
      <c r="M594" s="8" t="s">
        <v>592</v>
      </c>
      <c r="N594" s="8" t="s">
        <v>592</v>
      </c>
      <c r="O594" s="11" t="s">
        <v>592</v>
      </c>
      <c r="P594" s="22">
        <v>0</v>
      </c>
      <c r="Q594" s="12"/>
      <c r="R594" s="11" t="s">
        <v>237</v>
      </c>
      <c r="S594" s="8">
        <v>7</v>
      </c>
      <c r="T594" s="12"/>
      <c r="U594" s="11" t="s">
        <v>592</v>
      </c>
      <c r="V594" s="11" t="s">
        <v>593</v>
      </c>
      <c r="W594" s="11"/>
      <c r="X594" s="9"/>
      <c r="Y594" s="9"/>
      <c r="Z594" s="8" t="s">
        <v>388</v>
      </c>
      <c r="AA594" s="9"/>
      <c r="AB594" s="9" t="s">
        <v>2347</v>
      </c>
      <c r="AC594" s="46" t="s">
        <v>2351</v>
      </c>
    </row>
    <row r="595" spans="1:29" ht="33.75" customHeight="1">
      <c r="A595" s="9">
        <v>82</v>
      </c>
      <c r="B595" s="8" t="s">
        <v>504</v>
      </c>
      <c r="C595" s="9">
        <v>347800</v>
      </c>
      <c r="D595" s="9">
        <v>476500</v>
      </c>
      <c r="E595" s="9" t="s">
        <v>2016</v>
      </c>
      <c r="F595" s="9"/>
      <c r="G595" s="9"/>
      <c r="H595" s="9" t="s">
        <v>2021</v>
      </c>
      <c r="I595" s="8" t="s">
        <v>80</v>
      </c>
      <c r="J595" s="9">
        <v>8</v>
      </c>
      <c r="K595" s="11"/>
      <c r="L595" s="11" t="s">
        <v>2</v>
      </c>
      <c r="M595" s="8" t="s">
        <v>592</v>
      </c>
      <c r="N595" s="8" t="s">
        <v>592</v>
      </c>
      <c r="O595" s="11" t="s">
        <v>592</v>
      </c>
      <c r="P595" s="22">
        <v>0</v>
      </c>
      <c r="Q595" s="12"/>
      <c r="R595" s="11" t="s">
        <v>599</v>
      </c>
      <c r="S595" s="8">
        <v>26</v>
      </c>
      <c r="T595" s="12"/>
      <c r="U595" s="11" t="s">
        <v>592</v>
      </c>
      <c r="V595" s="11" t="s">
        <v>593</v>
      </c>
      <c r="W595" s="11"/>
      <c r="X595" s="9"/>
      <c r="Y595" s="9"/>
      <c r="Z595" s="8" t="s">
        <v>388</v>
      </c>
      <c r="AA595" s="9"/>
      <c r="AB595" s="9" t="s">
        <v>2347</v>
      </c>
      <c r="AC595" s="46" t="s">
        <v>2351</v>
      </c>
    </row>
    <row r="596" spans="1:29" ht="33.75" customHeight="1">
      <c r="A596" s="9">
        <v>82</v>
      </c>
      <c r="B596" s="8" t="s">
        <v>109</v>
      </c>
      <c r="C596" s="9">
        <v>327000</v>
      </c>
      <c r="D596" s="9">
        <v>474300</v>
      </c>
      <c r="E596" s="9" t="s">
        <v>2016</v>
      </c>
      <c r="F596" s="9"/>
      <c r="G596" s="9"/>
      <c r="H596" s="9" t="s">
        <v>1446</v>
      </c>
      <c r="I596" s="8" t="s">
        <v>532</v>
      </c>
      <c r="J596" s="9">
        <v>40</v>
      </c>
      <c r="K596" s="11"/>
      <c r="L596" s="11" t="s">
        <v>2</v>
      </c>
      <c r="M596" s="8" t="s">
        <v>592</v>
      </c>
      <c r="N596" s="8" t="s">
        <v>592</v>
      </c>
      <c r="O596" s="11" t="s">
        <v>592</v>
      </c>
      <c r="P596" s="22">
        <v>0</v>
      </c>
      <c r="Q596" s="12"/>
      <c r="R596" s="11" t="s">
        <v>599</v>
      </c>
      <c r="S596" s="8">
        <v>27</v>
      </c>
      <c r="T596" s="12"/>
      <c r="U596" s="11" t="s">
        <v>592</v>
      </c>
      <c r="V596" s="11" t="s">
        <v>593</v>
      </c>
      <c r="W596" s="11"/>
      <c r="X596" s="9"/>
      <c r="Y596" s="9"/>
      <c r="Z596" s="8" t="s">
        <v>388</v>
      </c>
      <c r="AA596" s="9"/>
      <c r="AB596" s="9" t="s">
        <v>2347</v>
      </c>
      <c r="AC596" s="46" t="s">
        <v>2351</v>
      </c>
    </row>
    <row r="597" spans="1:29" ht="33.75" customHeight="1">
      <c r="A597" s="9">
        <v>82</v>
      </c>
      <c r="B597" s="8" t="s">
        <v>109</v>
      </c>
      <c r="C597" s="9">
        <v>349700</v>
      </c>
      <c r="D597" s="9">
        <v>476600</v>
      </c>
      <c r="E597" s="9" t="s">
        <v>2016</v>
      </c>
      <c r="F597" s="9"/>
      <c r="G597" s="9"/>
      <c r="H597" s="9" t="s">
        <v>2022</v>
      </c>
      <c r="I597" s="8" t="s">
        <v>2023</v>
      </c>
      <c r="J597" s="9">
        <v>30</v>
      </c>
      <c r="K597" s="11"/>
      <c r="L597" s="11" t="s">
        <v>2</v>
      </c>
      <c r="M597" s="8" t="s">
        <v>592</v>
      </c>
      <c r="N597" s="8" t="s">
        <v>592</v>
      </c>
      <c r="O597" s="11" t="s">
        <v>592</v>
      </c>
      <c r="P597" s="22">
        <v>0</v>
      </c>
      <c r="Q597" s="12"/>
      <c r="R597" s="11" t="s">
        <v>599</v>
      </c>
      <c r="S597" s="8">
        <v>19</v>
      </c>
      <c r="T597" s="12"/>
      <c r="U597" s="11" t="s">
        <v>592</v>
      </c>
      <c r="V597" s="11" t="s">
        <v>593</v>
      </c>
      <c r="W597" s="11"/>
      <c r="X597" s="9"/>
      <c r="Y597" s="9"/>
      <c r="Z597" s="8" t="s">
        <v>388</v>
      </c>
      <c r="AA597" s="9"/>
      <c r="AB597" s="9" t="s">
        <v>2347</v>
      </c>
      <c r="AC597" s="46" t="s">
        <v>2351</v>
      </c>
    </row>
    <row r="598" spans="1:29" ht="33.75" customHeight="1">
      <c r="A598" s="9">
        <v>82</v>
      </c>
      <c r="B598" s="8" t="s">
        <v>109</v>
      </c>
      <c r="C598" s="9">
        <v>343400</v>
      </c>
      <c r="D598" s="9">
        <v>486400</v>
      </c>
      <c r="E598" s="9" t="s">
        <v>2016</v>
      </c>
      <c r="F598" s="9"/>
      <c r="G598" s="9"/>
      <c r="H598" s="9" t="s">
        <v>2024</v>
      </c>
      <c r="I598" s="8" t="s">
        <v>2025</v>
      </c>
      <c r="J598" s="9">
        <v>60</v>
      </c>
      <c r="K598" s="11"/>
      <c r="L598" s="11" t="s">
        <v>2</v>
      </c>
      <c r="M598" s="8" t="s">
        <v>592</v>
      </c>
      <c r="N598" s="8" t="s">
        <v>592</v>
      </c>
      <c r="O598" s="11" t="s">
        <v>592</v>
      </c>
      <c r="P598" s="22">
        <v>0</v>
      </c>
      <c r="Q598" s="12"/>
      <c r="R598" s="11" t="s">
        <v>599</v>
      </c>
      <c r="S598" s="8">
        <v>22</v>
      </c>
      <c r="T598" s="12"/>
      <c r="U598" s="11" t="s">
        <v>592</v>
      </c>
      <c r="V598" s="11" t="s">
        <v>593</v>
      </c>
      <c r="W598" s="11"/>
      <c r="X598" s="9"/>
      <c r="Y598" s="9"/>
      <c r="Z598" s="8" t="s">
        <v>388</v>
      </c>
      <c r="AA598" s="9"/>
      <c r="AB598" s="9" t="s">
        <v>2347</v>
      </c>
      <c r="AC598" s="46" t="s">
        <v>2351</v>
      </c>
    </row>
    <row r="599" spans="1:29" ht="33.75" customHeight="1">
      <c r="A599" s="9">
        <v>82</v>
      </c>
      <c r="B599" s="8" t="s">
        <v>109</v>
      </c>
      <c r="C599" s="9">
        <v>342000</v>
      </c>
      <c r="D599" s="9">
        <v>484900</v>
      </c>
      <c r="E599" s="9" t="s">
        <v>2016</v>
      </c>
      <c r="F599" s="9"/>
      <c r="G599" s="9"/>
      <c r="H599" s="9" t="s">
        <v>2026</v>
      </c>
      <c r="I599" s="8" t="s">
        <v>2027</v>
      </c>
      <c r="J599" s="9">
        <v>10</v>
      </c>
      <c r="K599" s="11"/>
      <c r="L599" s="11" t="s">
        <v>2</v>
      </c>
      <c r="M599" s="8" t="s">
        <v>592</v>
      </c>
      <c r="N599" s="8" t="s">
        <v>592</v>
      </c>
      <c r="O599" s="11" t="s">
        <v>592</v>
      </c>
      <c r="P599" s="22">
        <v>0</v>
      </c>
      <c r="Q599" s="12"/>
      <c r="R599" s="11" t="s">
        <v>599</v>
      </c>
      <c r="S599" s="8">
        <v>25</v>
      </c>
      <c r="T599" s="12"/>
      <c r="U599" s="11" t="s">
        <v>592</v>
      </c>
      <c r="V599" s="11" t="s">
        <v>593</v>
      </c>
      <c r="W599" s="11"/>
      <c r="X599" s="9"/>
      <c r="Y599" s="9"/>
      <c r="Z599" s="8" t="s">
        <v>388</v>
      </c>
      <c r="AA599" s="9"/>
      <c r="AB599" s="9" t="s">
        <v>2347</v>
      </c>
      <c r="AC599" s="46" t="s">
        <v>2351</v>
      </c>
    </row>
    <row r="600" spans="1:29" ht="33.75" customHeight="1">
      <c r="A600" s="9"/>
      <c r="B600" s="8" t="s">
        <v>109</v>
      </c>
      <c r="C600" s="9">
        <v>336600</v>
      </c>
      <c r="D600" s="9">
        <v>500600</v>
      </c>
      <c r="E600" s="9" t="s">
        <v>2028</v>
      </c>
      <c r="F600" s="9"/>
      <c r="G600" s="9"/>
      <c r="H600" s="9" t="s">
        <v>2029</v>
      </c>
      <c r="I600" s="8" t="s">
        <v>2030</v>
      </c>
      <c r="J600" s="9">
        <v>43</v>
      </c>
      <c r="K600" s="11"/>
      <c r="L600" s="11" t="s">
        <v>2</v>
      </c>
      <c r="M600" s="8" t="s">
        <v>592</v>
      </c>
      <c r="N600" s="8" t="s">
        <v>592</v>
      </c>
      <c r="O600" s="11" t="s">
        <v>592</v>
      </c>
      <c r="P600" s="22">
        <v>0</v>
      </c>
      <c r="Q600" s="12"/>
      <c r="R600" s="11" t="s">
        <v>237</v>
      </c>
      <c r="S600" s="8">
        <v>59</v>
      </c>
      <c r="T600" s="12"/>
      <c r="U600" s="11" t="s">
        <v>592</v>
      </c>
      <c r="V600" s="11" t="s">
        <v>593</v>
      </c>
      <c r="W600" s="11"/>
      <c r="X600" s="9"/>
      <c r="Y600" s="9"/>
      <c r="Z600" s="8" t="s">
        <v>465</v>
      </c>
      <c r="AA600" s="9"/>
      <c r="AB600" s="9" t="s">
        <v>2347</v>
      </c>
      <c r="AC600" s="46" t="s">
        <v>2351</v>
      </c>
    </row>
    <row r="601" spans="1:29" ht="33.75" customHeight="1">
      <c r="A601" s="9"/>
      <c r="B601" s="8" t="s">
        <v>109</v>
      </c>
      <c r="C601" s="9">
        <v>337600</v>
      </c>
      <c r="D601" s="9">
        <v>501200</v>
      </c>
      <c r="E601" s="9" t="s">
        <v>2031</v>
      </c>
      <c r="F601" s="9"/>
      <c r="G601" s="9"/>
      <c r="H601" s="9" t="s">
        <v>2032</v>
      </c>
      <c r="I601" s="8" t="s">
        <v>2033</v>
      </c>
      <c r="J601" s="9">
        <v>46</v>
      </c>
      <c r="K601" s="11"/>
      <c r="L601" s="11" t="s">
        <v>2</v>
      </c>
      <c r="M601" s="8" t="s">
        <v>592</v>
      </c>
      <c r="N601" s="8" t="s">
        <v>592</v>
      </c>
      <c r="O601" s="11" t="s">
        <v>592</v>
      </c>
      <c r="P601" s="22">
        <v>0</v>
      </c>
      <c r="Q601" s="12"/>
      <c r="R601" s="11" t="s">
        <v>599</v>
      </c>
      <c r="S601" s="8">
        <v>21</v>
      </c>
      <c r="T601" s="12"/>
      <c r="U601" s="11" t="s">
        <v>592</v>
      </c>
      <c r="V601" s="11" t="s">
        <v>593</v>
      </c>
      <c r="W601" s="11"/>
      <c r="X601" s="9"/>
      <c r="Y601" s="9"/>
      <c r="Z601" s="8" t="s">
        <v>466</v>
      </c>
      <c r="AA601" s="9"/>
      <c r="AB601" s="9" t="s">
        <v>2347</v>
      </c>
      <c r="AC601" s="46" t="s">
        <v>2351</v>
      </c>
    </row>
    <row r="602" spans="1:29" ht="33.75" customHeight="1">
      <c r="A602" s="9"/>
      <c r="B602" s="8" t="s">
        <v>109</v>
      </c>
      <c r="C602" s="9">
        <v>337900</v>
      </c>
      <c r="D602" s="9">
        <v>501300</v>
      </c>
      <c r="E602" s="9" t="s">
        <v>2034</v>
      </c>
      <c r="F602" s="9"/>
      <c r="G602" s="9"/>
      <c r="H602" s="9" t="s">
        <v>2035</v>
      </c>
      <c r="I602" s="8" t="s">
        <v>2036</v>
      </c>
      <c r="J602" s="9">
        <v>40</v>
      </c>
      <c r="K602" s="11"/>
      <c r="L602" s="11" t="s">
        <v>2</v>
      </c>
      <c r="M602" s="8" t="s">
        <v>592</v>
      </c>
      <c r="N602" s="8" t="s">
        <v>592</v>
      </c>
      <c r="O602" s="11" t="s">
        <v>592</v>
      </c>
      <c r="P602" s="22">
        <v>0</v>
      </c>
      <c r="Q602" s="12"/>
      <c r="R602" s="11" t="s">
        <v>237</v>
      </c>
      <c r="S602" s="8">
        <v>3</v>
      </c>
      <c r="T602" s="12"/>
      <c r="U602" s="11" t="s">
        <v>592</v>
      </c>
      <c r="V602" s="11" t="s">
        <v>593</v>
      </c>
      <c r="W602" s="11"/>
      <c r="X602" s="9"/>
      <c r="Y602" s="9"/>
      <c r="Z602" s="8" t="s">
        <v>468</v>
      </c>
      <c r="AA602" s="9"/>
      <c r="AB602" s="9" t="s">
        <v>2347</v>
      </c>
      <c r="AC602" s="46" t="s">
        <v>2351</v>
      </c>
    </row>
    <row r="603" spans="1:29" ht="33.75" customHeight="1">
      <c r="A603" s="9"/>
      <c r="B603" s="8" t="s">
        <v>109</v>
      </c>
      <c r="C603" s="9">
        <v>337600</v>
      </c>
      <c r="D603" s="9">
        <v>501200</v>
      </c>
      <c r="E603" s="9" t="s">
        <v>2037</v>
      </c>
      <c r="F603" s="9"/>
      <c r="G603" s="9"/>
      <c r="H603" s="9" t="s">
        <v>2038</v>
      </c>
      <c r="I603" s="8" t="s">
        <v>2039</v>
      </c>
      <c r="J603" s="9">
        <v>40</v>
      </c>
      <c r="K603" s="11"/>
      <c r="L603" s="11" t="s">
        <v>2</v>
      </c>
      <c r="M603" s="8" t="s">
        <v>592</v>
      </c>
      <c r="N603" s="8" t="s">
        <v>592</v>
      </c>
      <c r="O603" s="11" t="s">
        <v>592</v>
      </c>
      <c r="P603" s="22">
        <v>0</v>
      </c>
      <c r="Q603" s="12"/>
      <c r="R603" s="11" t="s">
        <v>599</v>
      </c>
      <c r="S603" s="8">
        <v>13</v>
      </c>
      <c r="T603" s="12"/>
      <c r="U603" s="11" t="s">
        <v>592</v>
      </c>
      <c r="V603" s="11" t="s">
        <v>593</v>
      </c>
      <c r="W603" s="11"/>
      <c r="X603" s="9"/>
      <c r="Y603" s="9"/>
      <c r="Z603" s="8" t="s">
        <v>469</v>
      </c>
      <c r="AA603" s="9"/>
      <c r="AB603" s="9" t="s">
        <v>2347</v>
      </c>
      <c r="AC603" s="46" t="s">
        <v>2351</v>
      </c>
    </row>
    <row r="604" spans="1:29" ht="33.75" customHeight="1">
      <c r="A604" s="9"/>
      <c r="B604" s="8" t="s">
        <v>109</v>
      </c>
      <c r="C604" s="9">
        <v>337600</v>
      </c>
      <c r="D604" s="9">
        <v>501300</v>
      </c>
      <c r="E604" s="9" t="s">
        <v>2037</v>
      </c>
      <c r="F604" s="9"/>
      <c r="G604" s="9"/>
      <c r="H604" s="9" t="s">
        <v>2040</v>
      </c>
      <c r="I604" s="8" t="s">
        <v>2041</v>
      </c>
      <c r="J604" s="9">
        <v>40</v>
      </c>
      <c r="K604" s="11"/>
      <c r="L604" s="11" t="s">
        <v>2</v>
      </c>
      <c r="M604" s="8" t="s">
        <v>592</v>
      </c>
      <c r="N604" s="8" t="s">
        <v>592</v>
      </c>
      <c r="O604" s="11" t="s">
        <v>592</v>
      </c>
      <c r="P604" s="22">
        <v>0</v>
      </c>
      <c r="Q604" s="12"/>
      <c r="R604" s="11" t="s">
        <v>599</v>
      </c>
      <c r="S604" s="8">
        <v>21</v>
      </c>
      <c r="T604" s="12"/>
      <c r="U604" s="11" t="s">
        <v>592</v>
      </c>
      <c r="V604" s="11" t="s">
        <v>593</v>
      </c>
      <c r="W604" s="11"/>
      <c r="X604" s="9"/>
      <c r="Y604" s="9"/>
      <c r="Z604" s="8" t="s">
        <v>469</v>
      </c>
      <c r="AA604" s="9"/>
      <c r="AB604" s="9" t="s">
        <v>2347</v>
      </c>
      <c r="AC604" s="46" t="s">
        <v>2351</v>
      </c>
    </row>
    <row r="605" spans="1:29" ht="33.75" customHeight="1">
      <c r="A605" s="9"/>
      <c r="B605" s="8" t="s">
        <v>109</v>
      </c>
      <c r="C605" s="9">
        <v>337600</v>
      </c>
      <c r="D605" s="9">
        <v>501400</v>
      </c>
      <c r="E605" s="9" t="s">
        <v>2037</v>
      </c>
      <c r="F605" s="9"/>
      <c r="G605" s="9"/>
      <c r="H605" s="9" t="s">
        <v>2042</v>
      </c>
      <c r="I605" s="8" t="s">
        <v>2043</v>
      </c>
      <c r="J605" s="9">
        <v>40</v>
      </c>
      <c r="K605" s="11"/>
      <c r="L605" s="11" t="s">
        <v>2</v>
      </c>
      <c r="M605" s="8" t="s">
        <v>592</v>
      </c>
      <c r="N605" s="8" t="s">
        <v>592</v>
      </c>
      <c r="O605" s="11" t="s">
        <v>592</v>
      </c>
      <c r="P605" s="22">
        <v>0</v>
      </c>
      <c r="Q605" s="12"/>
      <c r="R605" s="11" t="s">
        <v>599</v>
      </c>
      <c r="S605" s="8">
        <v>7</v>
      </c>
      <c r="T605" s="12"/>
      <c r="U605" s="11" t="s">
        <v>592</v>
      </c>
      <c r="V605" s="11" t="s">
        <v>593</v>
      </c>
      <c r="W605" s="11"/>
      <c r="X605" s="9"/>
      <c r="Y605" s="9"/>
      <c r="Z605" s="8" t="s">
        <v>469</v>
      </c>
      <c r="AA605" s="9"/>
      <c r="AB605" s="9" t="s">
        <v>2347</v>
      </c>
      <c r="AC605" s="46" t="s">
        <v>2351</v>
      </c>
    </row>
    <row r="606" spans="1:29" ht="33.75" customHeight="1">
      <c r="A606" s="9"/>
      <c r="B606" s="8" t="s">
        <v>109</v>
      </c>
      <c r="C606" s="9">
        <v>337700</v>
      </c>
      <c r="D606" s="9">
        <v>501400</v>
      </c>
      <c r="E606" s="9" t="s">
        <v>2037</v>
      </c>
      <c r="F606" s="9"/>
      <c r="G606" s="9"/>
      <c r="H606" s="9" t="s">
        <v>2044</v>
      </c>
      <c r="I606" s="8" t="s">
        <v>2045</v>
      </c>
      <c r="J606" s="9">
        <v>40</v>
      </c>
      <c r="K606" s="11"/>
      <c r="L606" s="11" t="s">
        <v>2</v>
      </c>
      <c r="M606" s="8" t="s">
        <v>592</v>
      </c>
      <c r="N606" s="8" t="s">
        <v>592</v>
      </c>
      <c r="O606" s="11" t="s">
        <v>592</v>
      </c>
      <c r="P606" s="22">
        <v>0</v>
      </c>
      <c r="Q606" s="12"/>
      <c r="R606" s="11" t="s">
        <v>599</v>
      </c>
      <c r="S606" s="8">
        <v>15</v>
      </c>
      <c r="T606" s="12"/>
      <c r="U606" s="11" t="s">
        <v>592</v>
      </c>
      <c r="V606" s="11" t="s">
        <v>593</v>
      </c>
      <c r="W606" s="11"/>
      <c r="X606" s="9"/>
      <c r="Y606" s="9"/>
      <c r="Z606" s="8" t="s">
        <v>469</v>
      </c>
      <c r="AA606" s="9"/>
      <c r="AB606" s="9" t="s">
        <v>2347</v>
      </c>
      <c r="AC606" s="46" t="s">
        <v>2351</v>
      </c>
    </row>
    <row r="607" spans="1:29" ht="33.75" customHeight="1">
      <c r="A607" s="9"/>
      <c r="B607" s="8" t="s">
        <v>109</v>
      </c>
      <c r="C607" s="9">
        <v>337800</v>
      </c>
      <c r="D607" s="9">
        <v>501400</v>
      </c>
      <c r="E607" s="9" t="s">
        <v>2037</v>
      </c>
      <c r="F607" s="9"/>
      <c r="G607" s="9"/>
      <c r="H607" s="9" t="s">
        <v>2046</v>
      </c>
      <c r="I607" s="8" t="s">
        <v>2047</v>
      </c>
      <c r="J607" s="9">
        <v>40</v>
      </c>
      <c r="K607" s="11"/>
      <c r="L607" s="11" t="s">
        <v>2</v>
      </c>
      <c r="M607" s="8" t="s">
        <v>592</v>
      </c>
      <c r="N607" s="8" t="s">
        <v>592</v>
      </c>
      <c r="O607" s="11" t="s">
        <v>592</v>
      </c>
      <c r="P607" s="22">
        <v>0</v>
      </c>
      <c r="Q607" s="12"/>
      <c r="R607" s="11" t="s">
        <v>599</v>
      </c>
      <c r="S607" s="8">
        <v>13</v>
      </c>
      <c r="T607" s="12"/>
      <c r="U607" s="11" t="s">
        <v>592</v>
      </c>
      <c r="V607" s="11" t="s">
        <v>593</v>
      </c>
      <c r="W607" s="11"/>
      <c r="X607" s="9"/>
      <c r="Y607" s="9"/>
      <c r="Z607" s="8" t="s">
        <v>469</v>
      </c>
      <c r="AA607" s="9"/>
      <c r="AB607" s="9" t="s">
        <v>2347</v>
      </c>
      <c r="AC607" s="46" t="s">
        <v>2351</v>
      </c>
    </row>
    <row r="608" spans="1:29" ht="33.75" customHeight="1">
      <c r="A608" s="9"/>
      <c r="B608" s="8" t="s">
        <v>109</v>
      </c>
      <c r="C608" s="9">
        <v>337900</v>
      </c>
      <c r="D608" s="9">
        <v>501400</v>
      </c>
      <c r="E608" s="9" t="s">
        <v>2037</v>
      </c>
      <c r="F608" s="9"/>
      <c r="G608" s="9"/>
      <c r="H608" s="9" t="s">
        <v>2048</v>
      </c>
      <c r="I608" s="8" t="s">
        <v>2049</v>
      </c>
      <c r="J608" s="9">
        <v>40</v>
      </c>
      <c r="K608" s="11"/>
      <c r="L608" s="11" t="s">
        <v>2</v>
      </c>
      <c r="M608" s="8" t="s">
        <v>592</v>
      </c>
      <c r="N608" s="8" t="s">
        <v>592</v>
      </c>
      <c r="O608" s="11" t="s">
        <v>592</v>
      </c>
      <c r="P608" s="22">
        <v>0</v>
      </c>
      <c r="Q608" s="12"/>
      <c r="R608" s="11" t="s">
        <v>599</v>
      </c>
      <c r="S608" s="8">
        <v>23</v>
      </c>
      <c r="T608" s="12"/>
      <c r="U608" s="11" t="s">
        <v>592</v>
      </c>
      <c r="V608" s="11" t="s">
        <v>593</v>
      </c>
      <c r="W608" s="11"/>
      <c r="X608" s="9"/>
      <c r="Y608" s="9"/>
      <c r="Z608" s="8" t="s">
        <v>469</v>
      </c>
      <c r="AA608" s="9"/>
      <c r="AB608" s="9" t="s">
        <v>2347</v>
      </c>
      <c r="AC608" s="46" t="s">
        <v>2351</v>
      </c>
    </row>
    <row r="609" spans="1:29" ht="33.75" customHeight="1">
      <c r="A609" s="9"/>
      <c r="B609" s="8" t="s">
        <v>109</v>
      </c>
      <c r="C609" s="9">
        <v>338200</v>
      </c>
      <c r="D609" s="9">
        <v>501400</v>
      </c>
      <c r="E609" s="9" t="s">
        <v>2037</v>
      </c>
      <c r="F609" s="9"/>
      <c r="G609" s="9"/>
      <c r="H609" s="9" t="s">
        <v>2050</v>
      </c>
      <c r="I609" s="8" t="s">
        <v>2051</v>
      </c>
      <c r="J609" s="9">
        <v>40</v>
      </c>
      <c r="K609" s="11"/>
      <c r="L609" s="11" t="s">
        <v>2</v>
      </c>
      <c r="M609" s="8" t="s">
        <v>592</v>
      </c>
      <c r="N609" s="8" t="s">
        <v>592</v>
      </c>
      <c r="O609" s="11" t="s">
        <v>592</v>
      </c>
      <c r="P609" s="22">
        <v>0</v>
      </c>
      <c r="Q609" s="12"/>
      <c r="R609" s="11" t="s">
        <v>599</v>
      </c>
      <c r="S609" s="8">
        <v>22</v>
      </c>
      <c r="T609" s="12"/>
      <c r="U609" s="11" t="s">
        <v>592</v>
      </c>
      <c r="V609" s="11" t="s">
        <v>593</v>
      </c>
      <c r="W609" s="11"/>
      <c r="X609" s="9"/>
      <c r="Y609" s="9"/>
      <c r="Z609" s="8" t="s">
        <v>469</v>
      </c>
      <c r="AA609" s="9"/>
      <c r="AB609" s="9" t="s">
        <v>2347</v>
      </c>
      <c r="AC609" s="46" t="s">
        <v>2351</v>
      </c>
    </row>
    <row r="610" spans="1:29" ht="33.75" customHeight="1">
      <c r="A610" s="9"/>
      <c r="B610" s="8" t="s">
        <v>109</v>
      </c>
      <c r="C610" s="9">
        <v>338600</v>
      </c>
      <c r="D610" s="9">
        <v>501200</v>
      </c>
      <c r="E610" s="9" t="s">
        <v>2037</v>
      </c>
      <c r="F610" s="9"/>
      <c r="G610" s="9"/>
      <c r="H610" s="9" t="s">
        <v>2052</v>
      </c>
      <c r="I610" s="8" t="s">
        <v>2053</v>
      </c>
      <c r="J610" s="9">
        <v>40</v>
      </c>
      <c r="K610" s="11"/>
      <c r="L610" s="11" t="s">
        <v>2</v>
      </c>
      <c r="M610" s="8" t="s">
        <v>592</v>
      </c>
      <c r="N610" s="8" t="s">
        <v>592</v>
      </c>
      <c r="O610" s="11" t="s">
        <v>592</v>
      </c>
      <c r="P610" s="22">
        <v>0</v>
      </c>
      <c r="Q610" s="12"/>
      <c r="R610" s="11" t="s">
        <v>599</v>
      </c>
      <c r="S610" s="8">
        <v>18</v>
      </c>
      <c r="T610" s="12"/>
      <c r="U610" s="11" t="s">
        <v>592</v>
      </c>
      <c r="V610" s="11" t="s">
        <v>593</v>
      </c>
      <c r="W610" s="11"/>
      <c r="X610" s="9"/>
      <c r="Y610" s="9"/>
      <c r="Z610" s="8" t="s">
        <v>469</v>
      </c>
      <c r="AA610" s="9"/>
      <c r="AB610" s="9" t="s">
        <v>2347</v>
      </c>
      <c r="AC610" s="46" t="s">
        <v>2351</v>
      </c>
    </row>
    <row r="611" spans="1:29" ht="33.75" customHeight="1">
      <c r="A611" s="9"/>
      <c r="B611" s="8" t="s">
        <v>109</v>
      </c>
      <c r="C611" s="9">
        <v>315300</v>
      </c>
      <c r="D611" s="9">
        <v>496800</v>
      </c>
      <c r="E611" s="9" t="s">
        <v>2054</v>
      </c>
      <c r="F611" s="9"/>
      <c r="G611" s="9"/>
      <c r="H611" s="9" t="s">
        <v>2055</v>
      </c>
      <c r="I611" s="8" t="s">
        <v>2056</v>
      </c>
      <c r="J611" s="9">
        <v>233</v>
      </c>
      <c r="K611" s="11"/>
      <c r="L611" s="11" t="s">
        <v>2</v>
      </c>
      <c r="M611" s="8" t="s">
        <v>592</v>
      </c>
      <c r="N611" s="8" t="s">
        <v>592</v>
      </c>
      <c r="O611" s="11" t="s">
        <v>592</v>
      </c>
      <c r="P611" s="22">
        <v>0</v>
      </c>
      <c r="Q611" s="12"/>
      <c r="R611" s="11" t="s">
        <v>599</v>
      </c>
      <c r="S611" s="8">
        <v>29</v>
      </c>
      <c r="T611" s="12"/>
      <c r="U611" s="11" t="s">
        <v>592</v>
      </c>
      <c r="V611" s="11" t="s">
        <v>593</v>
      </c>
      <c r="W611" s="11"/>
      <c r="X611" s="9"/>
      <c r="Y611" s="9"/>
      <c r="Z611" s="8" t="s">
        <v>470</v>
      </c>
      <c r="AA611" s="9"/>
      <c r="AB611" s="9" t="s">
        <v>2347</v>
      </c>
      <c r="AC611" s="46" t="s">
        <v>2351</v>
      </c>
    </row>
    <row r="612" spans="1:29" ht="33.75" customHeight="1">
      <c r="A612" s="9"/>
      <c r="B612" s="8" t="s">
        <v>109</v>
      </c>
      <c r="C612" s="9">
        <v>315800</v>
      </c>
      <c r="D612" s="9">
        <v>496900</v>
      </c>
      <c r="E612" s="9" t="s">
        <v>2054</v>
      </c>
      <c r="F612" s="9"/>
      <c r="G612" s="9"/>
      <c r="H612" s="9" t="s">
        <v>2057</v>
      </c>
      <c r="I612" s="8" t="s">
        <v>2058</v>
      </c>
      <c r="J612" s="9">
        <v>233</v>
      </c>
      <c r="K612" s="11"/>
      <c r="L612" s="11" t="s">
        <v>2</v>
      </c>
      <c r="M612" s="8" t="s">
        <v>592</v>
      </c>
      <c r="N612" s="8" t="s">
        <v>592</v>
      </c>
      <c r="O612" s="11" t="s">
        <v>592</v>
      </c>
      <c r="P612" s="22">
        <v>0</v>
      </c>
      <c r="Q612" s="12"/>
      <c r="R612" s="11" t="s">
        <v>599</v>
      </c>
      <c r="S612" s="8">
        <v>50</v>
      </c>
      <c r="T612" s="12"/>
      <c r="U612" s="11" t="s">
        <v>592</v>
      </c>
      <c r="V612" s="11" t="s">
        <v>593</v>
      </c>
      <c r="W612" s="11"/>
      <c r="X612" s="9"/>
      <c r="Y612" s="9"/>
      <c r="Z612" s="8" t="s">
        <v>470</v>
      </c>
      <c r="AA612" s="9"/>
      <c r="AB612" s="9" t="s">
        <v>2347</v>
      </c>
      <c r="AC612" s="46" t="s">
        <v>2351</v>
      </c>
    </row>
    <row r="613" spans="1:29" ht="33.75" customHeight="1">
      <c r="A613" s="9"/>
      <c r="B613" s="8" t="s">
        <v>109</v>
      </c>
      <c r="C613" s="9">
        <v>325300</v>
      </c>
      <c r="D613" s="9">
        <v>498800</v>
      </c>
      <c r="E613" s="9" t="s">
        <v>2054</v>
      </c>
      <c r="F613" s="9"/>
      <c r="G613" s="9"/>
      <c r="H613" s="9" t="s">
        <v>2059</v>
      </c>
      <c r="I613" s="8" t="s">
        <v>2060</v>
      </c>
      <c r="J613" s="9">
        <v>369</v>
      </c>
      <c r="K613" s="11"/>
      <c r="L613" s="11" t="s">
        <v>2</v>
      </c>
      <c r="M613" s="8" t="s">
        <v>592</v>
      </c>
      <c r="N613" s="8" t="s">
        <v>592</v>
      </c>
      <c r="O613" s="11" t="s">
        <v>592</v>
      </c>
      <c r="P613" s="22">
        <v>0</v>
      </c>
      <c r="Q613" s="12"/>
      <c r="R613" s="11" t="s">
        <v>599</v>
      </c>
      <c r="S613" s="8">
        <v>53</v>
      </c>
      <c r="T613" s="12"/>
      <c r="U613" s="11" t="s">
        <v>592</v>
      </c>
      <c r="V613" s="11" t="s">
        <v>593</v>
      </c>
      <c r="W613" s="11"/>
      <c r="X613" s="9"/>
      <c r="Y613" s="9"/>
      <c r="Z613" s="8" t="s">
        <v>470</v>
      </c>
      <c r="AA613" s="9"/>
      <c r="AB613" s="9" t="s">
        <v>2347</v>
      </c>
      <c r="AC613" s="46" t="s">
        <v>2351</v>
      </c>
    </row>
    <row r="614" spans="1:29" ht="33.75" customHeight="1">
      <c r="A614" s="9"/>
      <c r="B614" s="8" t="s">
        <v>109</v>
      </c>
      <c r="C614" s="9">
        <v>326600</v>
      </c>
      <c r="D614" s="9">
        <v>497700</v>
      </c>
      <c r="E614" s="9" t="s">
        <v>2054</v>
      </c>
      <c r="F614" s="9"/>
      <c r="G614" s="9"/>
      <c r="H614" s="9" t="s">
        <v>2061</v>
      </c>
      <c r="I614" s="8" t="s">
        <v>472</v>
      </c>
      <c r="J614" s="9">
        <v>503</v>
      </c>
      <c r="K614" s="11"/>
      <c r="L614" s="11" t="s">
        <v>2</v>
      </c>
      <c r="M614" s="8" t="s">
        <v>592</v>
      </c>
      <c r="N614" s="8" t="s">
        <v>592</v>
      </c>
      <c r="O614" s="11" t="s">
        <v>592</v>
      </c>
      <c r="P614" s="22">
        <v>0</v>
      </c>
      <c r="Q614" s="12"/>
      <c r="R614" s="11" t="s">
        <v>599</v>
      </c>
      <c r="S614" s="8">
        <v>14</v>
      </c>
      <c r="T614" s="12"/>
      <c r="U614" s="11" t="s">
        <v>592</v>
      </c>
      <c r="V614" s="11" t="s">
        <v>593</v>
      </c>
      <c r="W614" s="11"/>
      <c r="X614" s="9"/>
      <c r="Y614" s="9"/>
      <c r="Z614" s="8" t="s">
        <v>470</v>
      </c>
      <c r="AA614" s="9"/>
      <c r="AB614" s="9" t="s">
        <v>2347</v>
      </c>
      <c r="AC614" s="46" t="s">
        <v>2351</v>
      </c>
    </row>
    <row r="615" spans="1:29" ht="33.75" customHeight="1">
      <c r="A615" s="9"/>
      <c r="B615" s="8" t="s">
        <v>109</v>
      </c>
      <c r="C615" s="9">
        <v>326300</v>
      </c>
      <c r="D615" s="9">
        <v>496700</v>
      </c>
      <c r="E615" s="9" t="s">
        <v>2054</v>
      </c>
      <c r="F615" s="9"/>
      <c r="G615" s="9"/>
      <c r="H615" s="9" t="s">
        <v>2062</v>
      </c>
      <c r="I615" s="8" t="s">
        <v>2063</v>
      </c>
      <c r="J615" s="9">
        <v>564</v>
      </c>
      <c r="K615" s="11"/>
      <c r="L615" s="11" t="s">
        <v>2</v>
      </c>
      <c r="M615" s="8" t="s">
        <v>592</v>
      </c>
      <c r="N615" s="8" t="s">
        <v>592</v>
      </c>
      <c r="O615" s="11" t="s">
        <v>592</v>
      </c>
      <c r="P615" s="22">
        <v>0</v>
      </c>
      <c r="Q615" s="12"/>
      <c r="R615" s="11" t="s">
        <v>599</v>
      </c>
      <c r="S615" s="8">
        <v>21</v>
      </c>
      <c r="T615" s="12"/>
      <c r="U615" s="11" t="s">
        <v>592</v>
      </c>
      <c r="V615" s="11" t="s">
        <v>593</v>
      </c>
      <c r="W615" s="11"/>
      <c r="X615" s="9"/>
      <c r="Y615" s="9"/>
      <c r="Z615" s="8" t="s">
        <v>470</v>
      </c>
      <c r="AA615" s="9"/>
      <c r="AB615" s="9" t="s">
        <v>2347</v>
      </c>
      <c r="AC615" s="46" t="s">
        <v>2351</v>
      </c>
    </row>
    <row r="616" spans="1:29" ht="33.75" customHeight="1">
      <c r="A616" s="9"/>
      <c r="B616" s="8" t="s">
        <v>109</v>
      </c>
      <c r="C616" s="9">
        <v>329300</v>
      </c>
      <c r="D616" s="9">
        <v>504400</v>
      </c>
      <c r="E616" s="9" t="s">
        <v>2054</v>
      </c>
      <c r="F616" s="9"/>
      <c r="G616" s="9"/>
      <c r="H616" s="9" t="s">
        <v>2064</v>
      </c>
      <c r="I616" s="8" t="s">
        <v>2065</v>
      </c>
      <c r="J616" s="9">
        <v>213</v>
      </c>
      <c r="K616" s="11"/>
      <c r="L616" s="11" t="s">
        <v>2</v>
      </c>
      <c r="M616" s="8" t="s">
        <v>592</v>
      </c>
      <c r="N616" s="8" t="s">
        <v>592</v>
      </c>
      <c r="O616" s="11" t="s">
        <v>592</v>
      </c>
      <c r="P616" s="22">
        <v>0</v>
      </c>
      <c r="Q616" s="12"/>
      <c r="R616" s="11" t="s">
        <v>599</v>
      </c>
      <c r="S616" s="8">
        <v>27</v>
      </c>
      <c r="T616" s="12"/>
      <c r="U616" s="11" t="s">
        <v>592</v>
      </c>
      <c r="V616" s="11" t="s">
        <v>593</v>
      </c>
      <c r="W616" s="11"/>
      <c r="X616" s="9"/>
      <c r="Y616" s="9"/>
      <c r="Z616" s="8" t="s">
        <v>470</v>
      </c>
      <c r="AA616" s="9"/>
      <c r="AB616" s="9" t="s">
        <v>2347</v>
      </c>
      <c r="AC616" s="46" t="s">
        <v>2351</v>
      </c>
    </row>
    <row r="617" spans="1:29" ht="33.75" customHeight="1">
      <c r="A617" s="9"/>
      <c r="B617" s="8" t="s">
        <v>109</v>
      </c>
      <c r="C617" s="9">
        <v>326700</v>
      </c>
      <c r="D617" s="9">
        <v>503700</v>
      </c>
      <c r="E617" s="9" t="s">
        <v>2054</v>
      </c>
      <c r="F617" s="9"/>
      <c r="G617" s="9"/>
      <c r="H617" s="9" t="s">
        <v>2066</v>
      </c>
      <c r="I617" s="8" t="s">
        <v>2067</v>
      </c>
      <c r="J617" s="9">
        <v>518</v>
      </c>
      <c r="K617" s="11"/>
      <c r="L617" s="11" t="s">
        <v>2</v>
      </c>
      <c r="M617" s="8" t="s">
        <v>592</v>
      </c>
      <c r="N617" s="8" t="s">
        <v>592</v>
      </c>
      <c r="O617" s="11" t="s">
        <v>592</v>
      </c>
      <c r="P617" s="22">
        <v>0</v>
      </c>
      <c r="Q617" s="12"/>
      <c r="R617" s="11" t="s">
        <v>599</v>
      </c>
      <c r="S617" s="8">
        <v>57</v>
      </c>
      <c r="T617" s="12"/>
      <c r="U617" s="11" t="s">
        <v>592</v>
      </c>
      <c r="V617" s="11" t="s">
        <v>593</v>
      </c>
      <c r="W617" s="11"/>
      <c r="X617" s="9"/>
      <c r="Y617" s="9"/>
      <c r="Z617" s="8" t="s">
        <v>470</v>
      </c>
      <c r="AA617" s="9"/>
      <c r="AB617" s="9" t="s">
        <v>2347</v>
      </c>
      <c r="AC617" s="46" t="s">
        <v>2351</v>
      </c>
    </row>
    <row r="618" spans="1:29" ht="33.75" customHeight="1">
      <c r="A618" s="9"/>
      <c r="B618" s="8" t="s">
        <v>109</v>
      </c>
      <c r="C618" s="9">
        <v>308300</v>
      </c>
      <c r="D618" s="9">
        <v>523100</v>
      </c>
      <c r="E618" s="9" t="s">
        <v>2068</v>
      </c>
      <c r="F618" s="9"/>
      <c r="G618" s="9"/>
      <c r="H618" s="9" t="s">
        <v>2069</v>
      </c>
      <c r="I618" s="8" t="s">
        <v>2070</v>
      </c>
      <c r="J618" s="9">
        <v>120</v>
      </c>
      <c r="K618" s="11"/>
      <c r="L618" s="11" t="s">
        <v>2</v>
      </c>
      <c r="M618" s="8" t="s">
        <v>592</v>
      </c>
      <c r="N618" s="8" t="s">
        <v>592</v>
      </c>
      <c r="O618" s="11" t="s">
        <v>592</v>
      </c>
      <c r="P618" s="22">
        <v>0</v>
      </c>
      <c r="Q618" s="12"/>
      <c r="R618" s="11" t="s">
        <v>599</v>
      </c>
      <c r="S618" s="8">
        <v>13</v>
      </c>
      <c r="T618" s="12"/>
      <c r="U618" s="11" t="s">
        <v>592</v>
      </c>
      <c r="V618" s="11" t="s">
        <v>593</v>
      </c>
      <c r="W618" s="11"/>
      <c r="X618" s="9"/>
      <c r="Y618" s="9"/>
      <c r="Z618" s="8" t="s">
        <v>473</v>
      </c>
      <c r="AA618" s="9"/>
      <c r="AB618" s="9" t="s">
        <v>2347</v>
      </c>
      <c r="AC618" s="46" t="s">
        <v>2351</v>
      </c>
    </row>
    <row r="619" spans="1:29" ht="33.75" customHeight="1">
      <c r="A619" s="9"/>
      <c r="B619" s="8" t="s">
        <v>109</v>
      </c>
      <c r="C619" s="9">
        <v>329200</v>
      </c>
      <c r="D619" s="9">
        <v>504400</v>
      </c>
      <c r="E619" s="9" t="s">
        <v>2068</v>
      </c>
      <c r="F619" s="9"/>
      <c r="G619" s="9"/>
      <c r="H619" s="9" t="s">
        <v>2071</v>
      </c>
      <c r="I619" s="8" t="s">
        <v>270</v>
      </c>
      <c r="J619" s="9">
        <v>190</v>
      </c>
      <c r="K619" s="11"/>
      <c r="L619" s="11" t="s">
        <v>2</v>
      </c>
      <c r="M619" s="8" t="s">
        <v>592</v>
      </c>
      <c r="N619" s="8" t="s">
        <v>592</v>
      </c>
      <c r="O619" s="11" t="s">
        <v>592</v>
      </c>
      <c r="P619" s="22">
        <v>0</v>
      </c>
      <c r="Q619" s="12"/>
      <c r="R619" s="11" t="s">
        <v>599</v>
      </c>
      <c r="S619" s="8">
        <v>15</v>
      </c>
      <c r="T619" s="12"/>
      <c r="U619" s="11" t="s">
        <v>592</v>
      </c>
      <c r="V619" s="11" t="s">
        <v>593</v>
      </c>
      <c r="W619" s="11"/>
      <c r="X619" s="9"/>
      <c r="Y619" s="9"/>
      <c r="Z619" s="8" t="s">
        <v>473</v>
      </c>
      <c r="AA619" s="9"/>
      <c r="AB619" s="9" t="s">
        <v>2347</v>
      </c>
      <c r="AC619" s="46" t="s">
        <v>2351</v>
      </c>
    </row>
    <row r="620" spans="1:29" ht="33.75" customHeight="1">
      <c r="A620" s="9"/>
      <c r="B620" s="8" t="s">
        <v>109</v>
      </c>
      <c r="C620" s="9">
        <v>326800</v>
      </c>
      <c r="D620" s="9">
        <v>503700</v>
      </c>
      <c r="E620" s="9" t="s">
        <v>2068</v>
      </c>
      <c r="F620" s="9"/>
      <c r="G620" s="9"/>
      <c r="H620" s="9" t="s">
        <v>2072</v>
      </c>
      <c r="I620" s="8" t="s">
        <v>2067</v>
      </c>
      <c r="J620" s="9">
        <v>530</v>
      </c>
      <c r="K620" s="11"/>
      <c r="L620" s="11" t="s">
        <v>2</v>
      </c>
      <c r="M620" s="8" t="s">
        <v>592</v>
      </c>
      <c r="N620" s="8" t="s">
        <v>592</v>
      </c>
      <c r="O620" s="11" t="s">
        <v>592</v>
      </c>
      <c r="P620" s="22">
        <v>0</v>
      </c>
      <c r="Q620" s="12"/>
      <c r="R620" s="11" t="s">
        <v>599</v>
      </c>
      <c r="S620" s="8">
        <v>17</v>
      </c>
      <c r="T620" s="12"/>
      <c r="U620" s="11" t="s">
        <v>592</v>
      </c>
      <c r="V620" s="11" t="s">
        <v>593</v>
      </c>
      <c r="W620" s="11"/>
      <c r="X620" s="9"/>
      <c r="Y620" s="9"/>
      <c r="Z620" s="8" t="s">
        <v>473</v>
      </c>
      <c r="AA620" s="9"/>
      <c r="AB620" s="9" t="s">
        <v>2347</v>
      </c>
      <c r="AC620" s="46" t="s">
        <v>2351</v>
      </c>
    </row>
    <row r="621" spans="1:29" ht="33.75" customHeight="1">
      <c r="A621" s="9"/>
      <c r="B621" s="8" t="s">
        <v>109</v>
      </c>
      <c r="C621" s="9">
        <v>318300</v>
      </c>
      <c r="D621" s="9">
        <v>504300</v>
      </c>
      <c r="E621" s="9" t="s">
        <v>2068</v>
      </c>
      <c r="F621" s="9"/>
      <c r="G621" s="9"/>
      <c r="H621" s="9" t="s">
        <v>2073</v>
      </c>
      <c r="I621" s="8" t="s">
        <v>2074</v>
      </c>
      <c r="J621" s="9">
        <v>260</v>
      </c>
      <c r="K621" s="11"/>
      <c r="L621" s="11" t="s">
        <v>2</v>
      </c>
      <c r="M621" s="8" t="s">
        <v>592</v>
      </c>
      <c r="N621" s="8" t="s">
        <v>592</v>
      </c>
      <c r="O621" s="11" t="s">
        <v>592</v>
      </c>
      <c r="P621" s="22">
        <v>0</v>
      </c>
      <c r="Q621" s="12"/>
      <c r="R621" s="11" t="s">
        <v>599</v>
      </c>
      <c r="S621" s="8">
        <v>12</v>
      </c>
      <c r="T621" s="12"/>
      <c r="U621" s="11" t="s">
        <v>592</v>
      </c>
      <c r="V621" s="11" t="s">
        <v>593</v>
      </c>
      <c r="W621" s="11"/>
      <c r="X621" s="9"/>
      <c r="Y621" s="9"/>
      <c r="Z621" s="8" t="s">
        <v>473</v>
      </c>
      <c r="AA621" s="9"/>
      <c r="AB621" s="9" t="s">
        <v>2347</v>
      </c>
      <c r="AC621" s="46" t="s">
        <v>2351</v>
      </c>
    </row>
    <row r="622" spans="1:29" ht="33.75" customHeight="1">
      <c r="A622" s="9"/>
      <c r="B622" s="8" t="s">
        <v>109</v>
      </c>
      <c r="C622" s="9">
        <v>327100</v>
      </c>
      <c r="D622" s="9">
        <v>503500</v>
      </c>
      <c r="E622" s="9" t="s">
        <v>2068</v>
      </c>
      <c r="F622" s="9"/>
      <c r="G622" s="9"/>
      <c r="H622" s="9" t="s">
        <v>2075</v>
      </c>
      <c r="I622" s="8" t="s">
        <v>2076</v>
      </c>
      <c r="J622" s="9">
        <v>520</v>
      </c>
      <c r="K622" s="11"/>
      <c r="L622" s="11" t="s">
        <v>2</v>
      </c>
      <c r="M622" s="8" t="s">
        <v>592</v>
      </c>
      <c r="N622" s="8" t="s">
        <v>592</v>
      </c>
      <c r="O622" s="11" t="s">
        <v>592</v>
      </c>
      <c r="P622" s="22">
        <v>0</v>
      </c>
      <c r="Q622" s="12"/>
      <c r="R622" s="11" t="s">
        <v>599</v>
      </c>
      <c r="S622" s="8">
        <v>15</v>
      </c>
      <c r="T622" s="12"/>
      <c r="U622" s="11" t="s">
        <v>592</v>
      </c>
      <c r="V622" s="11" t="s">
        <v>593</v>
      </c>
      <c r="W622" s="11"/>
      <c r="X622" s="9"/>
      <c r="Y622" s="9"/>
      <c r="Z622" s="8" t="s">
        <v>473</v>
      </c>
      <c r="AA622" s="9"/>
      <c r="AB622" s="9" t="s">
        <v>2347</v>
      </c>
      <c r="AC622" s="46" t="s">
        <v>2351</v>
      </c>
    </row>
    <row r="623" spans="1:29" ht="33.75" customHeight="1">
      <c r="A623" s="9"/>
      <c r="B623" s="8" t="s">
        <v>109</v>
      </c>
      <c r="C623" s="9">
        <v>336600</v>
      </c>
      <c r="D623" s="9">
        <v>500400</v>
      </c>
      <c r="E623" s="9" t="s">
        <v>2068</v>
      </c>
      <c r="F623" s="9"/>
      <c r="G623" s="9"/>
      <c r="H623" s="9" t="s">
        <v>2077</v>
      </c>
      <c r="I623" s="8" t="s">
        <v>2078</v>
      </c>
      <c r="J623" s="9">
        <v>50</v>
      </c>
      <c r="K623" s="11"/>
      <c r="L623" s="11" t="s">
        <v>2</v>
      </c>
      <c r="M623" s="8" t="s">
        <v>592</v>
      </c>
      <c r="N623" s="8" t="s">
        <v>592</v>
      </c>
      <c r="O623" s="11" t="s">
        <v>592</v>
      </c>
      <c r="P623" s="22">
        <v>0</v>
      </c>
      <c r="Q623" s="12"/>
      <c r="R623" s="11" t="s">
        <v>599</v>
      </c>
      <c r="S623" s="8">
        <v>48</v>
      </c>
      <c r="T623" s="12"/>
      <c r="U623" s="11" t="s">
        <v>592</v>
      </c>
      <c r="V623" s="11" t="s">
        <v>593</v>
      </c>
      <c r="W623" s="11"/>
      <c r="X623" s="9"/>
      <c r="Y623" s="9"/>
      <c r="Z623" s="8" t="s">
        <v>473</v>
      </c>
      <c r="AA623" s="9"/>
      <c r="AB623" s="9" t="s">
        <v>2347</v>
      </c>
      <c r="AC623" s="46" t="s">
        <v>2351</v>
      </c>
    </row>
    <row r="624" spans="1:29" ht="33.75" customHeight="1">
      <c r="A624" s="9">
        <v>69</v>
      </c>
      <c r="B624" s="8" t="s">
        <v>109</v>
      </c>
      <c r="C624" s="9">
        <v>329807</v>
      </c>
      <c r="D624" s="9">
        <v>504905</v>
      </c>
      <c r="E624" s="9" t="s">
        <v>2079</v>
      </c>
      <c r="F624" s="9"/>
      <c r="G624" s="9"/>
      <c r="H624" s="9" t="s">
        <v>302</v>
      </c>
      <c r="I624" s="8" t="s">
        <v>2065</v>
      </c>
      <c r="J624" s="9">
        <v>187</v>
      </c>
      <c r="K624" s="11" t="s">
        <v>43</v>
      </c>
      <c r="L624" s="11" t="s">
        <v>2</v>
      </c>
      <c r="M624" s="8">
        <v>5715</v>
      </c>
      <c r="N624" s="8">
        <v>5010</v>
      </c>
      <c r="O624" s="11">
        <f>M624-N624</f>
        <v>705</v>
      </c>
      <c r="P624" s="22">
        <v>4</v>
      </c>
      <c r="Q624" s="12">
        <f>P624/O624*1000</f>
        <v>5.6737588652482271</v>
      </c>
      <c r="R624" s="11" t="s">
        <v>68</v>
      </c>
      <c r="S624" s="8">
        <v>13</v>
      </c>
      <c r="T624" s="12">
        <f>S624/O624*1000</f>
        <v>18.439716312056735</v>
      </c>
      <c r="U624" s="11" t="s">
        <v>592</v>
      </c>
      <c r="V624" s="11" t="s">
        <v>593</v>
      </c>
      <c r="W624" s="11" t="s">
        <v>271</v>
      </c>
      <c r="X624" s="9" t="s">
        <v>249</v>
      </c>
      <c r="Y624" s="9" t="s">
        <v>43</v>
      </c>
      <c r="Z624" s="8" t="s">
        <v>2080</v>
      </c>
      <c r="AA624" s="9"/>
      <c r="AB624" s="9" t="s">
        <v>2347</v>
      </c>
      <c r="AC624" s="46" t="s">
        <v>2351</v>
      </c>
    </row>
    <row r="625" spans="1:29" ht="33.75" customHeight="1">
      <c r="A625" s="9">
        <v>69</v>
      </c>
      <c r="B625" s="8" t="s">
        <v>109</v>
      </c>
      <c r="C625" s="9">
        <v>336400</v>
      </c>
      <c r="D625" s="9">
        <v>500600</v>
      </c>
      <c r="E625" s="9" t="s">
        <v>2079</v>
      </c>
      <c r="F625" s="9"/>
      <c r="G625" s="9"/>
      <c r="H625" s="9" t="s">
        <v>2081</v>
      </c>
      <c r="I625" s="8" t="s">
        <v>2030</v>
      </c>
      <c r="J625" s="9">
        <v>50</v>
      </c>
      <c r="K625" s="11"/>
      <c r="L625" s="11" t="s">
        <v>2</v>
      </c>
      <c r="M625" s="8" t="s">
        <v>592</v>
      </c>
      <c r="N625" s="8" t="s">
        <v>592</v>
      </c>
      <c r="O625" s="11" t="s">
        <v>592</v>
      </c>
      <c r="P625" s="22">
        <v>0</v>
      </c>
      <c r="Q625" s="12"/>
      <c r="R625" s="11" t="s">
        <v>237</v>
      </c>
      <c r="S625" s="8">
        <v>40</v>
      </c>
      <c r="T625" s="12"/>
      <c r="U625" s="11" t="s">
        <v>592</v>
      </c>
      <c r="V625" s="11" t="s">
        <v>593</v>
      </c>
      <c r="W625" s="11"/>
      <c r="X625" s="9"/>
      <c r="Y625" s="9"/>
      <c r="Z625" s="8" t="s">
        <v>2080</v>
      </c>
      <c r="AA625" s="9"/>
      <c r="AB625" s="9" t="s">
        <v>2347</v>
      </c>
      <c r="AC625" s="46" t="s">
        <v>2351</v>
      </c>
    </row>
    <row r="626" spans="1:29" ht="33.75" customHeight="1">
      <c r="A626" s="9">
        <v>69</v>
      </c>
      <c r="B626" s="8" t="s">
        <v>109</v>
      </c>
      <c r="C626" s="9">
        <v>337700</v>
      </c>
      <c r="D626" s="9">
        <v>500100</v>
      </c>
      <c r="E626" s="9" t="s">
        <v>2079</v>
      </c>
      <c r="F626" s="9"/>
      <c r="G626" s="9"/>
      <c r="H626" s="9" t="s">
        <v>2082</v>
      </c>
      <c r="I626" s="8" t="s">
        <v>2083</v>
      </c>
      <c r="J626" s="9">
        <v>40</v>
      </c>
      <c r="K626" s="11"/>
      <c r="L626" s="11" t="s">
        <v>2</v>
      </c>
      <c r="M626" s="8" t="s">
        <v>592</v>
      </c>
      <c r="N626" s="8" t="s">
        <v>592</v>
      </c>
      <c r="O626" s="11" t="s">
        <v>592</v>
      </c>
      <c r="P626" s="22">
        <v>0</v>
      </c>
      <c r="Q626" s="12"/>
      <c r="R626" s="11" t="s">
        <v>599</v>
      </c>
      <c r="S626" s="8">
        <v>39</v>
      </c>
      <c r="T626" s="12"/>
      <c r="U626" s="11" t="s">
        <v>592</v>
      </c>
      <c r="V626" s="11" t="s">
        <v>593</v>
      </c>
      <c r="W626" s="11"/>
      <c r="X626" s="9"/>
      <c r="Y626" s="9"/>
      <c r="Z626" s="8" t="s">
        <v>2080</v>
      </c>
      <c r="AA626" s="9"/>
      <c r="AB626" s="9" t="s">
        <v>2347</v>
      </c>
      <c r="AC626" s="46" t="s">
        <v>2351</v>
      </c>
    </row>
    <row r="627" spans="1:29" ht="33.75" customHeight="1">
      <c r="A627" s="9">
        <v>69</v>
      </c>
      <c r="B627" s="8" t="s">
        <v>109</v>
      </c>
      <c r="C627" s="9">
        <v>316200</v>
      </c>
      <c r="D627" s="9">
        <v>497100</v>
      </c>
      <c r="E627" s="9" t="s">
        <v>2079</v>
      </c>
      <c r="F627" s="9"/>
      <c r="G627" s="9"/>
      <c r="H627" s="9" t="s">
        <v>2085</v>
      </c>
      <c r="I627" s="8" t="s">
        <v>471</v>
      </c>
      <c r="J627" s="9">
        <v>240</v>
      </c>
      <c r="K627" s="11"/>
      <c r="L627" s="11" t="s">
        <v>2</v>
      </c>
      <c r="M627" s="8" t="s">
        <v>592</v>
      </c>
      <c r="N627" s="8" t="s">
        <v>592</v>
      </c>
      <c r="O627" s="11" t="s">
        <v>592</v>
      </c>
      <c r="P627" s="22">
        <v>0</v>
      </c>
      <c r="Q627" s="12"/>
      <c r="R627" s="11" t="s">
        <v>599</v>
      </c>
      <c r="S627" s="8">
        <v>23</v>
      </c>
      <c r="T627" s="12"/>
      <c r="U627" s="11" t="s">
        <v>592</v>
      </c>
      <c r="V627" s="11" t="s">
        <v>593</v>
      </c>
      <c r="W627" s="11"/>
      <c r="X627" s="9"/>
      <c r="Y627" s="9"/>
      <c r="Z627" s="8" t="s">
        <v>2080</v>
      </c>
      <c r="AA627" s="9"/>
      <c r="AB627" s="9" t="s">
        <v>2347</v>
      </c>
      <c r="AC627" s="46" t="s">
        <v>2351</v>
      </c>
    </row>
    <row r="628" spans="1:29" ht="33.75" customHeight="1">
      <c r="A628" s="9">
        <v>69</v>
      </c>
      <c r="B628" s="8" t="s">
        <v>109</v>
      </c>
      <c r="C628" s="9">
        <v>318300</v>
      </c>
      <c r="D628" s="9">
        <v>504300</v>
      </c>
      <c r="E628" s="9" t="s">
        <v>2079</v>
      </c>
      <c r="F628" s="9"/>
      <c r="G628" s="9"/>
      <c r="H628" s="9" t="s">
        <v>2073</v>
      </c>
      <c r="I628" s="8" t="s">
        <v>2074</v>
      </c>
      <c r="J628" s="9">
        <v>260</v>
      </c>
      <c r="K628" s="11"/>
      <c r="L628" s="11" t="s">
        <v>2</v>
      </c>
      <c r="M628" s="8" t="s">
        <v>592</v>
      </c>
      <c r="N628" s="8" t="s">
        <v>592</v>
      </c>
      <c r="O628" s="11" t="s">
        <v>592</v>
      </c>
      <c r="P628" s="22">
        <v>0</v>
      </c>
      <c r="Q628" s="12"/>
      <c r="R628" s="11" t="s">
        <v>599</v>
      </c>
      <c r="S628" s="8">
        <v>31</v>
      </c>
      <c r="T628" s="12"/>
      <c r="U628" s="11" t="s">
        <v>592</v>
      </c>
      <c r="V628" s="11" t="s">
        <v>593</v>
      </c>
      <c r="W628" s="11"/>
      <c r="X628" s="9"/>
      <c r="Y628" s="9"/>
      <c r="Z628" s="8" t="s">
        <v>2080</v>
      </c>
      <c r="AA628" s="9"/>
      <c r="AB628" s="9" t="s">
        <v>2347</v>
      </c>
      <c r="AC628" s="46" t="s">
        <v>2351</v>
      </c>
    </row>
    <row r="629" spans="1:29" ht="33.75" customHeight="1">
      <c r="A629" s="9">
        <v>69</v>
      </c>
      <c r="B629" s="8" t="s">
        <v>109</v>
      </c>
      <c r="C629" s="9">
        <v>325700</v>
      </c>
      <c r="D629" s="9">
        <v>499200</v>
      </c>
      <c r="E629" s="9" t="s">
        <v>2079</v>
      </c>
      <c r="F629" s="9"/>
      <c r="G629" s="9"/>
      <c r="H629" s="9" t="s">
        <v>2086</v>
      </c>
      <c r="I629" s="8" t="s">
        <v>2060</v>
      </c>
      <c r="J629" s="9">
        <v>380</v>
      </c>
      <c r="K629" s="11"/>
      <c r="L629" s="11" t="s">
        <v>2</v>
      </c>
      <c r="M629" s="8" t="s">
        <v>592</v>
      </c>
      <c r="N629" s="8" t="s">
        <v>592</v>
      </c>
      <c r="O629" s="11" t="s">
        <v>592</v>
      </c>
      <c r="P629" s="22">
        <v>0</v>
      </c>
      <c r="Q629" s="12"/>
      <c r="R629" s="11" t="s">
        <v>599</v>
      </c>
      <c r="S629" s="8">
        <v>36</v>
      </c>
      <c r="T629" s="12"/>
      <c r="U629" s="11" t="s">
        <v>592</v>
      </c>
      <c r="V629" s="11" t="s">
        <v>593</v>
      </c>
      <c r="W629" s="11"/>
      <c r="X629" s="9"/>
      <c r="Y629" s="9"/>
      <c r="Z629" s="8" t="s">
        <v>2080</v>
      </c>
      <c r="AA629" s="9"/>
      <c r="AB629" s="9" t="s">
        <v>2347</v>
      </c>
      <c r="AC629" s="46" t="s">
        <v>2351</v>
      </c>
    </row>
    <row r="630" spans="1:29" ht="33.75" customHeight="1">
      <c r="A630" s="9">
        <v>69</v>
      </c>
      <c r="B630" s="8" t="s">
        <v>109</v>
      </c>
      <c r="C630" s="9">
        <v>345400</v>
      </c>
      <c r="D630" s="9">
        <v>510000</v>
      </c>
      <c r="E630" s="9" t="s">
        <v>2079</v>
      </c>
      <c r="F630" s="9"/>
      <c r="G630" s="9"/>
      <c r="H630" s="9" t="s">
        <v>2087</v>
      </c>
      <c r="I630" s="8" t="s">
        <v>2088</v>
      </c>
      <c r="J630" s="9">
        <v>460</v>
      </c>
      <c r="K630" s="11"/>
      <c r="L630" s="11" t="s">
        <v>2</v>
      </c>
      <c r="M630" s="8" t="s">
        <v>592</v>
      </c>
      <c r="N630" s="8" t="s">
        <v>592</v>
      </c>
      <c r="O630" s="11" t="s">
        <v>592</v>
      </c>
      <c r="P630" s="22">
        <v>0</v>
      </c>
      <c r="Q630" s="12"/>
      <c r="R630" s="11" t="s">
        <v>599</v>
      </c>
      <c r="S630" s="8">
        <v>17</v>
      </c>
      <c r="T630" s="12"/>
      <c r="U630" s="11" t="s">
        <v>592</v>
      </c>
      <c r="V630" s="11" t="s">
        <v>593</v>
      </c>
      <c r="W630" s="11"/>
      <c r="X630" s="9"/>
      <c r="Y630" s="9"/>
      <c r="Z630" s="8" t="s">
        <v>2080</v>
      </c>
      <c r="AA630" s="9"/>
      <c r="AB630" s="9" t="s">
        <v>2347</v>
      </c>
      <c r="AC630" s="46" t="s">
        <v>2351</v>
      </c>
    </row>
    <row r="631" spans="1:29" ht="33.75" customHeight="1">
      <c r="A631" s="9">
        <v>69</v>
      </c>
      <c r="B631" s="8" t="s">
        <v>109</v>
      </c>
      <c r="C631" s="9">
        <v>326100</v>
      </c>
      <c r="D631" s="9">
        <v>508300</v>
      </c>
      <c r="E631" s="9" t="s">
        <v>2079</v>
      </c>
      <c r="F631" s="9"/>
      <c r="G631" s="9"/>
      <c r="H631" s="9" t="s">
        <v>2089</v>
      </c>
      <c r="I631" s="8" t="s">
        <v>1727</v>
      </c>
      <c r="J631" s="9">
        <v>440</v>
      </c>
      <c r="K631" s="11"/>
      <c r="L631" s="11" t="s">
        <v>2</v>
      </c>
      <c r="M631" s="8" t="s">
        <v>592</v>
      </c>
      <c r="N631" s="8" t="s">
        <v>592</v>
      </c>
      <c r="O631" s="11" t="s">
        <v>592</v>
      </c>
      <c r="P631" s="22">
        <v>0</v>
      </c>
      <c r="Q631" s="12"/>
      <c r="R631" s="11" t="s">
        <v>599</v>
      </c>
      <c r="S631" s="8">
        <v>100</v>
      </c>
      <c r="T631" s="12"/>
      <c r="U631" s="11">
        <v>200</v>
      </c>
      <c r="V631" s="11" t="s">
        <v>594</v>
      </c>
      <c r="W631" s="11"/>
      <c r="X631" s="9"/>
      <c r="Y631" s="9"/>
      <c r="Z631" s="8" t="s">
        <v>2080</v>
      </c>
      <c r="AA631" s="9"/>
      <c r="AB631" s="9" t="s">
        <v>2347</v>
      </c>
      <c r="AC631" s="46" t="s">
        <v>2351</v>
      </c>
    </row>
    <row r="632" spans="1:29" ht="33.75" customHeight="1">
      <c r="A632" s="9">
        <v>69</v>
      </c>
      <c r="B632" s="8" t="s">
        <v>109</v>
      </c>
      <c r="C632" s="9">
        <v>329300</v>
      </c>
      <c r="D632" s="9">
        <v>504500</v>
      </c>
      <c r="E632" s="9" t="s">
        <v>2079</v>
      </c>
      <c r="F632" s="9"/>
      <c r="G632" s="9"/>
      <c r="H632" s="9" t="s">
        <v>2090</v>
      </c>
      <c r="I632" s="8" t="s">
        <v>2091</v>
      </c>
      <c r="J632" s="9">
        <v>190</v>
      </c>
      <c r="K632" s="11"/>
      <c r="L632" s="11" t="s">
        <v>2</v>
      </c>
      <c r="M632" s="8" t="s">
        <v>592</v>
      </c>
      <c r="N632" s="8" t="s">
        <v>592</v>
      </c>
      <c r="O632" s="11" t="s">
        <v>592</v>
      </c>
      <c r="P632" s="22">
        <v>0</v>
      </c>
      <c r="Q632" s="12"/>
      <c r="R632" s="11" t="s">
        <v>599</v>
      </c>
      <c r="S632" s="8">
        <v>16</v>
      </c>
      <c r="T632" s="12"/>
      <c r="U632" s="11" t="s">
        <v>592</v>
      </c>
      <c r="V632" s="11" t="s">
        <v>593</v>
      </c>
      <c r="W632" s="11"/>
      <c r="X632" s="9"/>
      <c r="Y632" s="9"/>
      <c r="Z632" s="8" t="s">
        <v>2080</v>
      </c>
      <c r="AA632" s="9"/>
      <c r="AB632" s="9" t="s">
        <v>2347</v>
      </c>
      <c r="AC632" s="46" t="s">
        <v>2351</v>
      </c>
    </row>
    <row r="633" spans="1:29" ht="33.75" customHeight="1">
      <c r="A633" s="9">
        <v>69</v>
      </c>
      <c r="B633" s="8" t="s">
        <v>109</v>
      </c>
      <c r="C633" s="9">
        <v>316200</v>
      </c>
      <c r="D633" s="9">
        <v>509300</v>
      </c>
      <c r="E633" s="9" t="s">
        <v>2079</v>
      </c>
      <c r="F633" s="9"/>
      <c r="G633" s="9"/>
      <c r="H633" s="9" t="s">
        <v>2092</v>
      </c>
      <c r="I633" s="8" t="s">
        <v>2093</v>
      </c>
      <c r="J633" s="9">
        <v>520</v>
      </c>
      <c r="K633" s="11"/>
      <c r="L633" s="11" t="s">
        <v>2</v>
      </c>
      <c r="M633" s="8" t="s">
        <v>592</v>
      </c>
      <c r="N633" s="8" t="s">
        <v>592</v>
      </c>
      <c r="O633" s="11" t="s">
        <v>592</v>
      </c>
      <c r="P633" s="22">
        <v>0</v>
      </c>
      <c r="Q633" s="12"/>
      <c r="R633" s="11" t="s">
        <v>599</v>
      </c>
      <c r="S633" s="8">
        <v>32</v>
      </c>
      <c r="T633" s="12"/>
      <c r="U633" s="11" t="s">
        <v>592</v>
      </c>
      <c r="V633" s="11" t="s">
        <v>593</v>
      </c>
      <c r="W633" s="11"/>
      <c r="X633" s="9"/>
      <c r="Y633" s="9"/>
      <c r="Z633" s="8" t="s">
        <v>2080</v>
      </c>
      <c r="AA633" s="9"/>
      <c r="AB633" s="9" t="s">
        <v>2347</v>
      </c>
      <c r="AC633" s="46" t="s">
        <v>2351</v>
      </c>
    </row>
    <row r="634" spans="1:29" ht="33.75" customHeight="1">
      <c r="A634" s="9">
        <v>69</v>
      </c>
      <c r="B634" s="8" t="s">
        <v>109</v>
      </c>
      <c r="C634" s="9">
        <v>315300</v>
      </c>
      <c r="D634" s="9">
        <v>498000</v>
      </c>
      <c r="E634" s="9" t="s">
        <v>2079</v>
      </c>
      <c r="F634" s="9"/>
      <c r="G634" s="9"/>
      <c r="H634" s="9" t="s">
        <v>2094</v>
      </c>
      <c r="I634" s="8" t="s">
        <v>2095</v>
      </c>
      <c r="J634" s="9">
        <v>190</v>
      </c>
      <c r="K634" s="11"/>
      <c r="L634" s="11" t="s">
        <v>2</v>
      </c>
      <c r="M634" s="8" t="s">
        <v>592</v>
      </c>
      <c r="N634" s="8" t="s">
        <v>592</v>
      </c>
      <c r="O634" s="11" t="s">
        <v>592</v>
      </c>
      <c r="P634" s="22">
        <v>0</v>
      </c>
      <c r="Q634" s="12"/>
      <c r="R634" s="11" t="s">
        <v>599</v>
      </c>
      <c r="S634" s="8">
        <v>14</v>
      </c>
      <c r="T634" s="12"/>
      <c r="U634" s="11" t="s">
        <v>592</v>
      </c>
      <c r="V634" s="11" t="s">
        <v>593</v>
      </c>
      <c r="W634" s="11"/>
      <c r="X634" s="9"/>
      <c r="Y634" s="9"/>
      <c r="Z634" s="8" t="s">
        <v>2080</v>
      </c>
      <c r="AA634" s="9"/>
      <c r="AB634" s="9" t="s">
        <v>2347</v>
      </c>
      <c r="AC634" s="46" t="s">
        <v>2351</v>
      </c>
    </row>
    <row r="635" spans="1:29" ht="33.75" customHeight="1">
      <c r="A635" s="9">
        <v>69</v>
      </c>
      <c r="B635" s="8" t="s">
        <v>109</v>
      </c>
      <c r="C635" s="9">
        <v>310800</v>
      </c>
      <c r="D635" s="9">
        <v>486900</v>
      </c>
      <c r="E635" s="9" t="s">
        <v>2079</v>
      </c>
      <c r="F635" s="9"/>
      <c r="G635" s="9"/>
      <c r="H635" s="9" t="s">
        <v>2096</v>
      </c>
      <c r="I635" s="8" t="s">
        <v>2097</v>
      </c>
      <c r="J635" s="9">
        <v>10</v>
      </c>
      <c r="K635" s="11"/>
      <c r="L635" s="11" t="s">
        <v>2</v>
      </c>
      <c r="M635" s="8" t="s">
        <v>592</v>
      </c>
      <c r="N635" s="8" t="s">
        <v>592</v>
      </c>
      <c r="O635" s="11" t="s">
        <v>592</v>
      </c>
      <c r="P635" s="22">
        <v>1</v>
      </c>
      <c r="Q635" s="12"/>
      <c r="R635" s="11" t="s">
        <v>599</v>
      </c>
      <c r="S635" s="8">
        <v>14</v>
      </c>
      <c r="T635" s="12"/>
      <c r="U635" s="11" t="s">
        <v>592</v>
      </c>
      <c r="V635" s="11" t="s">
        <v>593</v>
      </c>
      <c r="W635" s="11"/>
      <c r="X635" s="9"/>
      <c r="Y635" s="9"/>
      <c r="Z635" s="8" t="s">
        <v>2080</v>
      </c>
      <c r="AA635" s="9"/>
      <c r="AB635" s="9" t="s">
        <v>2347</v>
      </c>
      <c r="AC635" s="46" t="s">
        <v>2351</v>
      </c>
    </row>
    <row r="636" spans="1:29" ht="33.75" customHeight="1">
      <c r="A636" s="9">
        <v>69</v>
      </c>
      <c r="B636" s="8" t="s">
        <v>109</v>
      </c>
      <c r="C636" s="9">
        <v>308600</v>
      </c>
      <c r="D636" s="9">
        <v>491500</v>
      </c>
      <c r="E636" s="9" t="s">
        <v>2079</v>
      </c>
      <c r="F636" s="9"/>
      <c r="G636" s="9"/>
      <c r="H636" s="9" t="s">
        <v>2098</v>
      </c>
      <c r="I636" s="8" t="s">
        <v>2099</v>
      </c>
      <c r="J636" s="9">
        <v>10</v>
      </c>
      <c r="K636" s="11"/>
      <c r="L636" s="11" t="s">
        <v>2</v>
      </c>
      <c r="M636" s="8" t="s">
        <v>592</v>
      </c>
      <c r="N636" s="8" t="s">
        <v>592</v>
      </c>
      <c r="O636" s="11" t="s">
        <v>592</v>
      </c>
      <c r="P636" s="22">
        <v>0</v>
      </c>
      <c r="Q636" s="12"/>
      <c r="R636" s="11" t="s">
        <v>237</v>
      </c>
      <c r="S636" s="8">
        <v>13</v>
      </c>
      <c r="T636" s="12"/>
      <c r="U636" s="11" t="s">
        <v>592</v>
      </c>
      <c r="V636" s="11" t="s">
        <v>593</v>
      </c>
      <c r="W636" s="11"/>
      <c r="X636" s="9"/>
      <c r="Y636" s="9"/>
      <c r="Z636" s="8" t="s">
        <v>2080</v>
      </c>
      <c r="AA636" s="9"/>
      <c r="AB636" s="9" t="s">
        <v>2347</v>
      </c>
      <c r="AC636" s="46" t="s">
        <v>2351</v>
      </c>
    </row>
    <row r="637" spans="1:29" ht="33.75" customHeight="1">
      <c r="A637" s="9">
        <v>69</v>
      </c>
      <c r="B637" s="8" t="s">
        <v>109</v>
      </c>
      <c r="C637" s="9">
        <v>308600</v>
      </c>
      <c r="D637" s="9">
        <v>491600</v>
      </c>
      <c r="E637" s="9" t="s">
        <v>2079</v>
      </c>
      <c r="F637" s="9"/>
      <c r="G637" s="9"/>
      <c r="H637" s="9" t="s">
        <v>2100</v>
      </c>
      <c r="I637" s="8" t="s">
        <v>2101</v>
      </c>
      <c r="J637" s="9">
        <v>10</v>
      </c>
      <c r="K637" s="11"/>
      <c r="L637" s="11" t="s">
        <v>2</v>
      </c>
      <c r="M637" s="8" t="s">
        <v>592</v>
      </c>
      <c r="N637" s="8" t="s">
        <v>592</v>
      </c>
      <c r="O637" s="11" t="s">
        <v>592</v>
      </c>
      <c r="P637" s="22">
        <v>0</v>
      </c>
      <c r="Q637" s="12"/>
      <c r="R637" s="11" t="s">
        <v>237</v>
      </c>
      <c r="S637" s="8">
        <v>18</v>
      </c>
      <c r="T637" s="12"/>
      <c r="U637" s="11" t="s">
        <v>592</v>
      </c>
      <c r="V637" s="11" t="s">
        <v>593</v>
      </c>
      <c r="W637" s="11"/>
      <c r="X637" s="9"/>
      <c r="Y637" s="9"/>
      <c r="Z637" s="8" t="s">
        <v>2080</v>
      </c>
      <c r="AA637" s="9"/>
      <c r="AB637" s="9" t="s">
        <v>2347</v>
      </c>
      <c r="AC637" s="46" t="s">
        <v>2351</v>
      </c>
    </row>
    <row r="638" spans="1:29" ht="33.75" customHeight="1">
      <c r="A638" s="9">
        <v>69</v>
      </c>
      <c r="B638" s="8" t="s">
        <v>109</v>
      </c>
      <c r="C638" s="9">
        <v>308600</v>
      </c>
      <c r="D638" s="9">
        <v>491700</v>
      </c>
      <c r="E638" s="9" t="s">
        <v>2079</v>
      </c>
      <c r="F638" s="9"/>
      <c r="G638" s="9"/>
      <c r="H638" s="9" t="s">
        <v>2102</v>
      </c>
      <c r="I638" s="8" t="s">
        <v>2103</v>
      </c>
      <c r="J638" s="9">
        <v>10</v>
      </c>
      <c r="K638" s="11"/>
      <c r="L638" s="11" t="s">
        <v>2</v>
      </c>
      <c r="M638" s="8" t="s">
        <v>592</v>
      </c>
      <c r="N638" s="8" t="s">
        <v>592</v>
      </c>
      <c r="O638" s="11" t="s">
        <v>592</v>
      </c>
      <c r="P638" s="22">
        <v>0</v>
      </c>
      <c r="Q638" s="12"/>
      <c r="R638" s="11" t="s">
        <v>237</v>
      </c>
      <c r="S638" s="8">
        <v>3</v>
      </c>
      <c r="T638" s="12"/>
      <c r="U638" s="11" t="s">
        <v>592</v>
      </c>
      <c r="V638" s="11" t="s">
        <v>593</v>
      </c>
      <c r="W638" s="11"/>
      <c r="X638" s="9"/>
      <c r="Y638" s="9"/>
      <c r="Z638" s="8" t="s">
        <v>2080</v>
      </c>
      <c r="AA638" s="9"/>
      <c r="AB638" s="9" t="s">
        <v>2347</v>
      </c>
      <c r="AC638" s="46" t="s">
        <v>2351</v>
      </c>
    </row>
    <row r="639" spans="1:29" ht="33.75" customHeight="1">
      <c r="A639" s="9">
        <v>69</v>
      </c>
      <c r="B639" s="8" t="s">
        <v>109</v>
      </c>
      <c r="C639" s="9">
        <v>331000</v>
      </c>
      <c r="D639" s="9">
        <v>516500</v>
      </c>
      <c r="E639" s="9" t="s">
        <v>2079</v>
      </c>
      <c r="F639" s="9"/>
      <c r="G639" s="9"/>
      <c r="H639" s="9" t="s">
        <v>2104</v>
      </c>
      <c r="I639" s="8" t="s">
        <v>2105</v>
      </c>
      <c r="J639" s="9">
        <v>180</v>
      </c>
      <c r="K639" s="11"/>
      <c r="L639" s="11" t="s">
        <v>2</v>
      </c>
      <c r="M639" s="8" t="s">
        <v>592</v>
      </c>
      <c r="N639" s="8" t="s">
        <v>592</v>
      </c>
      <c r="O639" s="11" t="s">
        <v>592</v>
      </c>
      <c r="P639" s="22">
        <v>0</v>
      </c>
      <c r="Q639" s="12"/>
      <c r="R639" s="11" t="s">
        <v>599</v>
      </c>
      <c r="S639" s="8">
        <v>58</v>
      </c>
      <c r="T639" s="12"/>
      <c r="U639" s="11" t="s">
        <v>592</v>
      </c>
      <c r="V639" s="11" t="s">
        <v>594</v>
      </c>
      <c r="W639" s="11"/>
      <c r="X639" s="9"/>
      <c r="Y639" s="9"/>
      <c r="Z639" s="8" t="s">
        <v>2080</v>
      </c>
      <c r="AA639" s="9"/>
      <c r="AB639" s="9" t="s">
        <v>2347</v>
      </c>
      <c r="AC639" s="46" t="s">
        <v>2351</v>
      </c>
    </row>
    <row r="640" spans="1:29" ht="33.75" customHeight="1">
      <c r="A640" s="9"/>
      <c r="B640" s="8" t="s">
        <v>109</v>
      </c>
      <c r="C640" s="9">
        <v>336600</v>
      </c>
      <c r="D640" s="9">
        <v>500500</v>
      </c>
      <c r="E640" s="9" t="s">
        <v>2106</v>
      </c>
      <c r="F640" s="9"/>
      <c r="G640" s="9"/>
      <c r="H640" s="9" t="s">
        <v>1382</v>
      </c>
      <c r="I640" s="8" t="s">
        <v>2030</v>
      </c>
      <c r="J640" s="9">
        <v>50</v>
      </c>
      <c r="K640" s="11"/>
      <c r="L640" s="11" t="s">
        <v>2</v>
      </c>
      <c r="M640" s="8">
        <v>14270</v>
      </c>
      <c r="N640" s="8">
        <v>10470</v>
      </c>
      <c r="O640" s="11">
        <f>M640-N640</f>
        <v>3800</v>
      </c>
      <c r="P640" s="22">
        <v>10</v>
      </c>
      <c r="Q640" s="12">
        <f>P640/O640*1000</f>
        <v>2.6315789473684208</v>
      </c>
      <c r="R640" s="11" t="s">
        <v>599</v>
      </c>
      <c r="S640" s="8">
        <v>41</v>
      </c>
      <c r="T640" s="12">
        <f>S640/O640*1000</f>
        <v>10.789473684210526</v>
      </c>
      <c r="U640" s="11">
        <v>1000</v>
      </c>
      <c r="V640" s="11" t="s">
        <v>594</v>
      </c>
      <c r="W640" s="11"/>
      <c r="X640" s="9"/>
      <c r="Y640" s="9"/>
      <c r="Z640" s="8" t="s">
        <v>2107</v>
      </c>
      <c r="AA640" s="9"/>
      <c r="AB640" s="9" t="s">
        <v>2347</v>
      </c>
      <c r="AC640" s="46" t="s">
        <v>2351</v>
      </c>
    </row>
    <row r="641" spans="1:29" ht="33.75" customHeight="1">
      <c r="A641" s="9"/>
      <c r="B641" s="8" t="s">
        <v>109</v>
      </c>
      <c r="C641" s="9">
        <v>306600</v>
      </c>
      <c r="D641" s="9">
        <v>499200</v>
      </c>
      <c r="E641" s="9" t="s">
        <v>2108</v>
      </c>
      <c r="F641" s="9"/>
      <c r="G641" s="9"/>
      <c r="H641" s="9" t="s">
        <v>2109</v>
      </c>
      <c r="I641" s="8" t="s">
        <v>2110</v>
      </c>
      <c r="J641" s="9">
        <v>20</v>
      </c>
      <c r="K641" s="11"/>
      <c r="L641" s="11" t="s">
        <v>2</v>
      </c>
      <c r="M641" s="8" t="s">
        <v>592</v>
      </c>
      <c r="N641" s="8" t="s">
        <v>592</v>
      </c>
      <c r="O641" s="11" t="s">
        <v>592</v>
      </c>
      <c r="P641" s="22">
        <v>0</v>
      </c>
      <c r="Q641" s="12"/>
      <c r="R641" s="11" t="s">
        <v>237</v>
      </c>
      <c r="S641" s="8">
        <v>17</v>
      </c>
      <c r="T641" s="12"/>
      <c r="U641" s="11" t="s">
        <v>592</v>
      </c>
      <c r="V641" s="11" t="s">
        <v>593</v>
      </c>
      <c r="W641" s="11"/>
      <c r="X641" s="9"/>
      <c r="Y641" s="9"/>
      <c r="Z641" s="8" t="s">
        <v>2111</v>
      </c>
      <c r="AA641" s="9"/>
      <c r="AB641" s="9" t="s">
        <v>2347</v>
      </c>
      <c r="AC641" s="46" t="s">
        <v>2351</v>
      </c>
    </row>
    <row r="642" spans="1:29" ht="33.75" customHeight="1">
      <c r="A642" s="9"/>
      <c r="B642" s="8" t="s">
        <v>109</v>
      </c>
      <c r="C642" s="9">
        <v>329300</v>
      </c>
      <c r="D642" s="9">
        <v>504300</v>
      </c>
      <c r="E642" s="9" t="s">
        <v>2112</v>
      </c>
      <c r="F642" s="9"/>
      <c r="G642" s="9"/>
      <c r="H642" s="9" t="s">
        <v>2113</v>
      </c>
      <c r="I642" s="8" t="s">
        <v>2065</v>
      </c>
      <c r="J642" s="9">
        <v>190</v>
      </c>
      <c r="K642" s="11"/>
      <c r="L642" s="11" t="s">
        <v>2</v>
      </c>
      <c r="M642" s="8">
        <v>5660</v>
      </c>
      <c r="N642" s="8">
        <v>4476</v>
      </c>
      <c r="O642" s="11">
        <f>M642-N642</f>
        <v>1184</v>
      </c>
      <c r="P642" s="22">
        <v>4</v>
      </c>
      <c r="Q642" s="12">
        <f>P642/O642*1000</f>
        <v>3.3783783783783785</v>
      </c>
      <c r="R642" s="11" t="s">
        <v>599</v>
      </c>
      <c r="S642" s="8">
        <v>13</v>
      </c>
      <c r="T642" s="12">
        <f>S642/O642*1000</f>
        <v>10.97972972972973</v>
      </c>
      <c r="U642" s="11">
        <v>1000</v>
      </c>
      <c r="V642" s="11" t="s">
        <v>593</v>
      </c>
      <c r="W642" s="11"/>
      <c r="X642" s="9"/>
      <c r="Y642" s="9"/>
      <c r="Z642" s="8" t="s">
        <v>474</v>
      </c>
      <c r="AA642" s="9"/>
      <c r="AB642" s="9" t="s">
        <v>2347</v>
      </c>
      <c r="AC642" s="46" t="s">
        <v>2351</v>
      </c>
    </row>
    <row r="643" spans="1:29" ht="33.75" customHeight="1">
      <c r="A643" s="9"/>
      <c r="B643" s="8" t="s">
        <v>109</v>
      </c>
      <c r="C643" s="9">
        <v>327000</v>
      </c>
      <c r="D643" s="9">
        <v>503500</v>
      </c>
      <c r="E643" s="9" t="s">
        <v>2112</v>
      </c>
      <c r="F643" s="9"/>
      <c r="G643" s="9"/>
      <c r="H643" s="9" t="s">
        <v>2114</v>
      </c>
      <c r="I643" s="8" t="s">
        <v>2076</v>
      </c>
      <c r="J643" s="9">
        <v>530</v>
      </c>
      <c r="K643" s="11"/>
      <c r="L643" s="11" t="s">
        <v>2</v>
      </c>
      <c r="M643" s="8">
        <v>4975</v>
      </c>
      <c r="N643" s="8">
        <v>3915</v>
      </c>
      <c r="O643" s="11">
        <f>M643-N643</f>
        <v>1060</v>
      </c>
      <c r="P643" s="22">
        <v>2</v>
      </c>
      <c r="Q643" s="12">
        <f>P643/O643*1000</f>
        <v>1.8867924528301887</v>
      </c>
      <c r="R643" s="11" t="s">
        <v>237</v>
      </c>
      <c r="S643" s="8">
        <v>5</v>
      </c>
      <c r="T643" s="12">
        <f>S643/O643*1000</f>
        <v>4.7169811320754711</v>
      </c>
      <c r="U643" s="11" t="s">
        <v>592</v>
      </c>
      <c r="V643" s="11" t="s">
        <v>593</v>
      </c>
      <c r="W643" s="11"/>
      <c r="X643" s="9"/>
      <c r="Y643" s="9"/>
      <c r="Z643" s="8" t="s">
        <v>474</v>
      </c>
      <c r="AA643" s="9"/>
      <c r="AB643" s="9" t="s">
        <v>2347</v>
      </c>
      <c r="AC643" s="46" t="s">
        <v>2351</v>
      </c>
    </row>
    <row r="644" spans="1:29" ht="33.75" customHeight="1">
      <c r="A644" s="9"/>
      <c r="B644" s="8" t="s">
        <v>109</v>
      </c>
      <c r="C644" s="9">
        <v>327900</v>
      </c>
      <c r="D644" s="9">
        <v>508000</v>
      </c>
      <c r="E644" s="9" t="s">
        <v>2112</v>
      </c>
      <c r="F644" s="9"/>
      <c r="G644" s="9"/>
      <c r="H644" s="9" t="s">
        <v>2115</v>
      </c>
      <c r="I644" s="8" t="s">
        <v>2116</v>
      </c>
      <c r="J644" s="9">
        <v>720</v>
      </c>
      <c r="K644" s="11"/>
      <c r="L644" s="11" t="s">
        <v>2</v>
      </c>
      <c r="M644" s="8" t="s">
        <v>592</v>
      </c>
      <c r="N644" s="8" t="s">
        <v>592</v>
      </c>
      <c r="O644" s="11" t="s">
        <v>592</v>
      </c>
      <c r="P644" s="22">
        <v>1</v>
      </c>
      <c r="Q644" s="12"/>
      <c r="R644" s="11" t="s">
        <v>237</v>
      </c>
      <c r="S644" s="8">
        <v>10</v>
      </c>
      <c r="T644" s="12"/>
      <c r="U644" s="11" t="s">
        <v>592</v>
      </c>
      <c r="V644" s="11" t="s">
        <v>593</v>
      </c>
      <c r="W644" s="11"/>
      <c r="X644" s="9"/>
      <c r="Y644" s="9"/>
      <c r="Z644" s="8" t="s">
        <v>474</v>
      </c>
      <c r="AA644" s="9"/>
      <c r="AB644" s="9" t="s">
        <v>2347</v>
      </c>
      <c r="AC644" s="46" t="s">
        <v>2351</v>
      </c>
    </row>
    <row r="645" spans="1:29" ht="33.75" customHeight="1">
      <c r="A645" s="9"/>
      <c r="B645" s="8" t="s">
        <v>109</v>
      </c>
      <c r="C645" s="9">
        <v>320200</v>
      </c>
      <c r="D645" s="9">
        <v>504300</v>
      </c>
      <c r="E645" s="9" t="s">
        <v>2112</v>
      </c>
      <c r="F645" s="9"/>
      <c r="G645" s="9"/>
      <c r="H645" s="9" t="s">
        <v>2117</v>
      </c>
      <c r="I645" s="8" t="s">
        <v>2118</v>
      </c>
      <c r="J645" s="9">
        <v>470</v>
      </c>
      <c r="K645" s="11"/>
      <c r="L645" s="11" t="s">
        <v>2</v>
      </c>
      <c r="M645" s="8" t="s">
        <v>592</v>
      </c>
      <c r="N645" s="8" t="s">
        <v>592</v>
      </c>
      <c r="O645" s="11" t="s">
        <v>592</v>
      </c>
      <c r="P645" s="22">
        <v>0</v>
      </c>
      <c r="Q645" s="12"/>
      <c r="R645" s="11" t="s">
        <v>237</v>
      </c>
      <c r="S645" s="8">
        <v>17</v>
      </c>
      <c r="T645" s="12"/>
      <c r="U645" s="11" t="s">
        <v>592</v>
      </c>
      <c r="V645" s="11" t="s">
        <v>593</v>
      </c>
      <c r="W645" s="11"/>
      <c r="X645" s="9"/>
      <c r="Y645" s="9"/>
      <c r="Z645" s="8" t="s">
        <v>474</v>
      </c>
      <c r="AA645" s="9"/>
      <c r="AB645" s="9" t="s">
        <v>2347</v>
      </c>
      <c r="AC645" s="46" t="s">
        <v>2351</v>
      </c>
    </row>
    <row r="646" spans="1:29" ht="33.75" customHeight="1">
      <c r="A646" s="9"/>
      <c r="B646" s="8" t="s">
        <v>109</v>
      </c>
      <c r="C646" s="9">
        <v>345200</v>
      </c>
      <c r="D646" s="9">
        <v>522200</v>
      </c>
      <c r="E646" s="9" t="s">
        <v>2112</v>
      </c>
      <c r="F646" s="9"/>
      <c r="G646" s="9"/>
      <c r="H646" s="9" t="s">
        <v>2119</v>
      </c>
      <c r="I646" s="8" t="s">
        <v>2120</v>
      </c>
      <c r="J646" s="9">
        <v>150</v>
      </c>
      <c r="K646" s="11"/>
      <c r="L646" s="11" t="s">
        <v>2</v>
      </c>
      <c r="M646" s="8" t="s">
        <v>592</v>
      </c>
      <c r="N646" s="8" t="s">
        <v>592</v>
      </c>
      <c r="O646" s="11" t="s">
        <v>592</v>
      </c>
      <c r="P646" s="22">
        <v>1</v>
      </c>
      <c r="Q646" s="12"/>
      <c r="R646" s="11" t="s">
        <v>237</v>
      </c>
      <c r="S646" s="8">
        <v>12</v>
      </c>
      <c r="T646" s="12"/>
      <c r="U646" s="11" t="s">
        <v>592</v>
      </c>
      <c r="V646" s="11" t="s">
        <v>593</v>
      </c>
      <c r="W646" s="11"/>
      <c r="X646" s="9"/>
      <c r="Y646" s="9"/>
      <c r="Z646" s="8" t="s">
        <v>474</v>
      </c>
      <c r="AA646" s="9"/>
      <c r="AB646" s="9" t="s">
        <v>2347</v>
      </c>
      <c r="AC646" s="46" t="s">
        <v>2351</v>
      </c>
    </row>
    <row r="647" spans="1:29" ht="33.75" customHeight="1">
      <c r="A647" s="9"/>
      <c r="B647" s="8" t="s">
        <v>109</v>
      </c>
      <c r="C647" s="9">
        <v>310700</v>
      </c>
      <c r="D647" s="9">
        <v>514900</v>
      </c>
      <c r="E647" s="9" t="s">
        <v>2112</v>
      </c>
      <c r="F647" s="9"/>
      <c r="G647" s="9"/>
      <c r="H647" s="9" t="s">
        <v>2121</v>
      </c>
      <c r="I647" s="8" t="s">
        <v>2122</v>
      </c>
      <c r="J647" s="9">
        <v>120</v>
      </c>
      <c r="K647" s="11"/>
      <c r="L647" s="11" t="s">
        <v>2</v>
      </c>
      <c r="M647" s="8">
        <v>5225</v>
      </c>
      <c r="N647" s="8">
        <v>4775</v>
      </c>
      <c r="O647" s="11">
        <f>M647-N647</f>
        <v>450</v>
      </c>
      <c r="P647" s="22">
        <v>4</v>
      </c>
      <c r="Q647" s="12">
        <f>P647/O647*1000</f>
        <v>8.8888888888888893</v>
      </c>
      <c r="R647" s="11" t="s">
        <v>237</v>
      </c>
      <c r="S647" s="8">
        <v>17</v>
      </c>
      <c r="T647" s="12">
        <f>S647/O647*1000</f>
        <v>37.777777777777779</v>
      </c>
      <c r="U647" s="11" t="s">
        <v>592</v>
      </c>
      <c r="V647" s="11" t="s">
        <v>593</v>
      </c>
      <c r="W647" s="11"/>
      <c r="X647" s="9"/>
      <c r="Y647" s="9"/>
      <c r="Z647" s="8" t="s">
        <v>474</v>
      </c>
      <c r="AA647" s="9"/>
      <c r="AB647" s="9" t="s">
        <v>2347</v>
      </c>
      <c r="AC647" s="46" t="s">
        <v>2351</v>
      </c>
    </row>
    <row r="648" spans="1:29" ht="33.75" customHeight="1">
      <c r="A648" s="9"/>
      <c r="B648" s="8" t="s">
        <v>109</v>
      </c>
      <c r="C648" s="9">
        <v>310800</v>
      </c>
      <c r="D648" s="9">
        <v>486900</v>
      </c>
      <c r="E648" s="9" t="s">
        <v>2112</v>
      </c>
      <c r="F648" s="9"/>
      <c r="G648" s="9"/>
      <c r="H648" s="9" t="s">
        <v>2096</v>
      </c>
      <c r="I648" s="8" t="s">
        <v>2097</v>
      </c>
      <c r="J648" s="9">
        <v>15</v>
      </c>
      <c r="K648" s="11"/>
      <c r="L648" s="11" t="s">
        <v>2</v>
      </c>
      <c r="M648" s="8" t="s">
        <v>592</v>
      </c>
      <c r="N648" s="8" t="s">
        <v>592</v>
      </c>
      <c r="O648" s="11" t="s">
        <v>592</v>
      </c>
      <c r="P648" s="22">
        <v>1</v>
      </c>
      <c r="Q648" s="12"/>
      <c r="R648" s="11" t="s">
        <v>237</v>
      </c>
      <c r="S648" s="8">
        <v>17</v>
      </c>
      <c r="T648" s="12"/>
      <c r="U648" s="11" t="s">
        <v>592</v>
      </c>
      <c r="V648" s="11" t="s">
        <v>593</v>
      </c>
      <c r="W648" s="11"/>
      <c r="X648" s="9"/>
      <c r="Y648" s="9"/>
      <c r="Z648" s="8" t="s">
        <v>474</v>
      </c>
      <c r="AA648" s="9"/>
      <c r="AB648" s="9" t="s">
        <v>2347</v>
      </c>
      <c r="AC648" s="46" t="s">
        <v>2351</v>
      </c>
    </row>
    <row r="649" spans="1:29" ht="33.75" customHeight="1">
      <c r="A649" s="9"/>
      <c r="B649" s="8" t="s">
        <v>109</v>
      </c>
      <c r="C649" s="9">
        <v>308400</v>
      </c>
      <c r="D649" s="9">
        <v>491700</v>
      </c>
      <c r="E649" s="9" t="s">
        <v>2112</v>
      </c>
      <c r="F649" s="9"/>
      <c r="G649" s="9"/>
      <c r="H649" s="9" t="s">
        <v>2123</v>
      </c>
      <c r="I649" s="8" t="s">
        <v>1329</v>
      </c>
      <c r="J649" s="9">
        <v>8</v>
      </c>
      <c r="K649" s="11"/>
      <c r="L649" s="11" t="s">
        <v>2</v>
      </c>
      <c r="M649" s="8" t="s">
        <v>592</v>
      </c>
      <c r="N649" s="8" t="s">
        <v>592</v>
      </c>
      <c r="O649" s="11" t="s">
        <v>592</v>
      </c>
      <c r="P649" s="22">
        <v>0</v>
      </c>
      <c r="Q649" s="12"/>
      <c r="R649" s="11" t="s">
        <v>237</v>
      </c>
      <c r="S649" s="8">
        <v>35</v>
      </c>
      <c r="T649" s="12"/>
      <c r="U649" s="11" t="s">
        <v>592</v>
      </c>
      <c r="V649" s="11" t="s">
        <v>593</v>
      </c>
      <c r="W649" s="11"/>
      <c r="X649" s="9"/>
      <c r="Y649" s="9"/>
      <c r="Z649" s="8" t="s">
        <v>474</v>
      </c>
      <c r="AA649" s="9"/>
      <c r="AB649" s="9" t="s">
        <v>2347</v>
      </c>
      <c r="AC649" s="46" t="s">
        <v>2351</v>
      </c>
    </row>
    <row r="650" spans="1:29" ht="33.75" customHeight="1">
      <c r="A650" s="9"/>
      <c r="B650" s="8" t="s">
        <v>109</v>
      </c>
      <c r="C650" s="9">
        <v>308600</v>
      </c>
      <c r="D650" s="9">
        <v>491400</v>
      </c>
      <c r="E650" s="9" t="s">
        <v>2112</v>
      </c>
      <c r="F650" s="9"/>
      <c r="G650" s="9"/>
      <c r="H650" s="9" t="s">
        <v>2124</v>
      </c>
      <c r="I650" s="8" t="s">
        <v>2125</v>
      </c>
      <c r="J650" s="9">
        <v>5</v>
      </c>
      <c r="K650" s="11"/>
      <c r="L650" s="11" t="s">
        <v>2</v>
      </c>
      <c r="M650" s="8" t="s">
        <v>592</v>
      </c>
      <c r="N650" s="8" t="s">
        <v>592</v>
      </c>
      <c r="O650" s="11" t="s">
        <v>592</v>
      </c>
      <c r="P650" s="22">
        <v>0</v>
      </c>
      <c r="Q650" s="12"/>
      <c r="R650" s="11" t="s">
        <v>237</v>
      </c>
      <c r="S650" s="8">
        <v>19</v>
      </c>
      <c r="T650" s="12"/>
      <c r="U650" s="11" t="s">
        <v>592</v>
      </c>
      <c r="V650" s="11" t="s">
        <v>593</v>
      </c>
      <c r="W650" s="11"/>
      <c r="X650" s="9"/>
      <c r="Y650" s="9"/>
      <c r="Z650" s="8" t="s">
        <v>474</v>
      </c>
      <c r="AA650" s="9"/>
      <c r="AB650" s="9" t="s">
        <v>2347</v>
      </c>
      <c r="AC650" s="46" t="s">
        <v>2351</v>
      </c>
    </row>
    <row r="651" spans="1:29" ht="33.75" customHeight="1">
      <c r="A651" s="9"/>
      <c r="B651" s="8" t="s">
        <v>109</v>
      </c>
      <c r="C651" s="9">
        <v>336600</v>
      </c>
      <c r="D651" s="9">
        <v>500400</v>
      </c>
      <c r="E651" s="9" t="s">
        <v>2126</v>
      </c>
      <c r="F651" s="9"/>
      <c r="G651" s="9"/>
      <c r="H651" s="9" t="s">
        <v>2077</v>
      </c>
      <c r="I651" s="8" t="s">
        <v>2078</v>
      </c>
      <c r="J651" s="9">
        <v>50</v>
      </c>
      <c r="K651" s="11" t="s">
        <v>2127</v>
      </c>
      <c r="L651" s="11" t="s">
        <v>2</v>
      </c>
      <c r="M651" s="8">
        <v>2000</v>
      </c>
      <c r="N651" s="8">
        <v>500</v>
      </c>
      <c r="O651" s="11">
        <f>M651-N651</f>
        <v>1500</v>
      </c>
      <c r="P651" s="22">
        <v>5</v>
      </c>
      <c r="Q651" s="12">
        <f>P651/O651*1000</f>
        <v>3.3333333333333335</v>
      </c>
      <c r="R651" s="11" t="s">
        <v>599</v>
      </c>
      <c r="S651" s="8">
        <v>30</v>
      </c>
      <c r="T651" s="12">
        <f>S651/O651*1000</f>
        <v>20</v>
      </c>
      <c r="U651" s="11" t="s">
        <v>592</v>
      </c>
      <c r="V651" s="11" t="s">
        <v>593</v>
      </c>
      <c r="W651" s="11"/>
      <c r="X651" s="9"/>
      <c r="Y651" s="9"/>
      <c r="Z651" s="8" t="s">
        <v>2128</v>
      </c>
      <c r="AA651" s="9"/>
      <c r="AB651" s="9" t="s">
        <v>2347</v>
      </c>
      <c r="AC651" s="46" t="s">
        <v>2351</v>
      </c>
    </row>
    <row r="652" spans="1:29" ht="33.75" customHeight="1">
      <c r="A652" s="9"/>
      <c r="B652" s="8" t="s">
        <v>109</v>
      </c>
      <c r="C652" s="9">
        <v>337700</v>
      </c>
      <c r="D652" s="9">
        <v>501200</v>
      </c>
      <c r="E652" s="9" t="s">
        <v>2129</v>
      </c>
      <c r="F652" s="9"/>
      <c r="G652" s="9"/>
      <c r="H652" s="9" t="s">
        <v>2130</v>
      </c>
      <c r="I652" s="8" t="s">
        <v>2083</v>
      </c>
      <c r="J652" s="9">
        <v>40</v>
      </c>
      <c r="K652" s="11"/>
      <c r="L652" s="11" t="s">
        <v>2</v>
      </c>
      <c r="M652" s="8">
        <v>14623</v>
      </c>
      <c r="N652" s="8">
        <v>12272</v>
      </c>
      <c r="O652" s="11">
        <f>M652-N652</f>
        <v>2351</v>
      </c>
      <c r="P652" s="22">
        <v>15</v>
      </c>
      <c r="Q652" s="12">
        <f>P652/O652*1000</f>
        <v>6.3802637175669927</v>
      </c>
      <c r="R652" s="11" t="s">
        <v>599</v>
      </c>
      <c r="S652" s="8">
        <v>49</v>
      </c>
      <c r="T652" s="12">
        <f>S652/O652*1000</f>
        <v>20.842194810718844</v>
      </c>
      <c r="U652" s="11" t="s">
        <v>592</v>
      </c>
      <c r="V652" s="11" t="s">
        <v>593</v>
      </c>
      <c r="W652" s="11"/>
      <c r="X652" s="9"/>
      <c r="Y652" s="9"/>
      <c r="Z652" s="8" t="s">
        <v>2131</v>
      </c>
      <c r="AA652" s="9"/>
      <c r="AB652" s="9" t="s">
        <v>2347</v>
      </c>
      <c r="AC652" s="46" t="s">
        <v>2351</v>
      </c>
    </row>
    <row r="653" spans="1:29" ht="33.75" customHeight="1">
      <c r="A653" s="9"/>
      <c r="B653" s="8" t="s">
        <v>109</v>
      </c>
      <c r="C653" s="9">
        <v>310800</v>
      </c>
      <c r="D653" s="9">
        <v>486800</v>
      </c>
      <c r="E653" s="9" t="s">
        <v>2132</v>
      </c>
      <c r="F653" s="9"/>
      <c r="G653" s="9"/>
      <c r="H653" s="9" t="s">
        <v>2133</v>
      </c>
      <c r="I653" s="8" t="s">
        <v>2097</v>
      </c>
      <c r="J653" s="9">
        <v>10</v>
      </c>
      <c r="K653" s="11"/>
      <c r="L653" s="11" t="s">
        <v>2</v>
      </c>
      <c r="M653" s="8" t="s">
        <v>592</v>
      </c>
      <c r="N653" s="8" t="s">
        <v>592</v>
      </c>
      <c r="O653" s="11" t="s">
        <v>592</v>
      </c>
      <c r="P653" s="22">
        <v>0</v>
      </c>
      <c r="Q653" s="12"/>
      <c r="R653" s="11" t="s">
        <v>237</v>
      </c>
      <c r="S653" s="8">
        <v>17</v>
      </c>
      <c r="T653" s="12"/>
      <c r="U653" s="11" t="s">
        <v>592</v>
      </c>
      <c r="V653" s="11" t="s">
        <v>593</v>
      </c>
      <c r="W653" s="11"/>
      <c r="X653" s="9"/>
      <c r="Y653" s="9"/>
      <c r="Z653" s="8" t="s">
        <v>475</v>
      </c>
      <c r="AA653" s="9"/>
      <c r="AB653" s="9" t="s">
        <v>2347</v>
      </c>
      <c r="AC653" s="46" t="s">
        <v>2351</v>
      </c>
    </row>
    <row r="654" spans="1:29" ht="33.75" customHeight="1">
      <c r="A654" s="9">
        <v>59</v>
      </c>
      <c r="B654" s="8" t="s">
        <v>109</v>
      </c>
      <c r="C654" s="9">
        <v>336600</v>
      </c>
      <c r="D654" s="9">
        <v>500400</v>
      </c>
      <c r="E654" s="9" t="s">
        <v>2134</v>
      </c>
      <c r="F654" s="9"/>
      <c r="G654" s="9"/>
      <c r="H654" s="9" t="s">
        <v>2077</v>
      </c>
      <c r="I654" s="8" t="s">
        <v>2078</v>
      </c>
      <c r="J654" s="9">
        <v>50</v>
      </c>
      <c r="K654" s="11" t="s">
        <v>43</v>
      </c>
      <c r="L654" s="11" t="s">
        <v>2</v>
      </c>
      <c r="M654" s="8">
        <v>2914</v>
      </c>
      <c r="N654" s="8">
        <v>903</v>
      </c>
      <c r="O654" s="11">
        <f>M654-N654</f>
        <v>2011</v>
      </c>
      <c r="P654" s="22">
        <v>10</v>
      </c>
      <c r="Q654" s="12">
        <f>P654/O654*1000</f>
        <v>4.9726504226752857</v>
      </c>
      <c r="R654" s="11" t="s">
        <v>599</v>
      </c>
      <c r="S654" s="8">
        <v>35</v>
      </c>
      <c r="T654" s="12">
        <f>S654/O654*1000</f>
        <v>17.404276479363499</v>
      </c>
      <c r="U654" s="11" t="s">
        <v>592</v>
      </c>
      <c r="V654" s="11" t="s">
        <v>593</v>
      </c>
      <c r="W654" s="11" t="s">
        <v>2135</v>
      </c>
      <c r="X654" s="9" t="s">
        <v>2136</v>
      </c>
      <c r="Y654" s="9" t="s">
        <v>100</v>
      </c>
      <c r="Z654" s="8" t="s">
        <v>2137</v>
      </c>
      <c r="AA654" s="9"/>
      <c r="AB654" s="9" t="s">
        <v>2347</v>
      </c>
      <c r="AC654" s="46" t="s">
        <v>2351</v>
      </c>
    </row>
    <row r="655" spans="1:29" ht="33.75" customHeight="1">
      <c r="A655" s="9">
        <v>59</v>
      </c>
      <c r="B655" s="8" t="s">
        <v>109</v>
      </c>
      <c r="C655" s="9">
        <v>356431</v>
      </c>
      <c r="D655" s="9">
        <v>498544</v>
      </c>
      <c r="E655" s="9" t="s">
        <v>2134</v>
      </c>
      <c r="F655" s="9"/>
      <c r="G655" s="9"/>
      <c r="H655" s="9" t="s">
        <v>2138</v>
      </c>
      <c r="I655" s="8" t="s">
        <v>2139</v>
      </c>
      <c r="J655" s="9">
        <v>126</v>
      </c>
      <c r="K655" s="11" t="s">
        <v>43</v>
      </c>
      <c r="L655" s="11" t="s">
        <v>2</v>
      </c>
      <c r="M655" s="8">
        <v>7000</v>
      </c>
      <c r="N655" s="8">
        <v>200</v>
      </c>
      <c r="O655" s="11">
        <f>M655-N655</f>
        <v>6800</v>
      </c>
      <c r="P655" s="22">
        <v>4</v>
      </c>
      <c r="Q655" s="12">
        <f>P655/O655*1000</f>
        <v>0.58823529411764697</v>
      </c>
      <c r="R655" s="11" t="s">
        <v>599</v>
      </c>
      <c r="S655" s="8">
        <v>39</v>
      </c>
      <c r="T655" s="12">
        <f>S655/O655*1000</f>
        <v>5.7352941176470589</v>
      </c>
      <c r="U655" s="11" t="s">
        <v>592</v>
      </c>
      <c r="V655" s="11" t="s">
        <v>594</v>
      </c>
      <c r="W655" s="11" t="s">
        <v>2135</v>
      </c>
      <c r="X655" s="9" t="s">
        <v>2136</v>
      </c>
      <c r="Y655" s="9" t="s">
        <v>100</v>
      </c>
      <c r="Z655" s="8" t="s">
        <v>2137</v>
      </c>
      <c r="AA655" s="9"/>
      <c r="AB655" s="9" t="s">
        <v>2347</v>
      </c>
      <c r="AC655" s="46" t="s">
        <v>2351</v>
      </c>
    </row>
    <row r="656" spans="1:29" ht="33.75" customHeight="1">
      <c r="A656" s="9"/>
      <c r="B656" s="8" t="s">
        <v>109</v>
      </c>
      <c r="C656" s="9">
        <v>318500</v>
      </c>
      <c r="D656" s="9">
        <v>504500</v>
      </c>
      <c r="E656" s="9" t="s">
        <v>2140</v>
      </c>
      <c r="F656" s="9"/>
      <c r="G656" s="9"/>
      <c r="H656" s="9" t="s">
        <v>2141</v>
      </c>
      <c r="I656" s="8" t="s">
        <v>2074</v>
      </c>
      <c r="J656" s="9">
        <v>260</v>
      </c>
      <c r="K656" s="11"/>
      <c r="L656" s="11" t="s">
        <v>2</v>
      </c>
      <c r="M656" s="8">
        <v>7560</v>
      </c>
      <c r="N656" s="8">
        <v>1560</v>
      </c>
      <c r="O656" s="11">
        <f>M656-N656</f>
        <v>6000</v>
      </c>
      <c r="P656" s="22">
        <v>5</v>
      </c>
      <c r="Q656" s="12">
        <f>P656/O656*1000</f>
        <v>0.83333333333333337</v>
      </c>
      <c r="R656" s="11" t="s">
        <v>599</v>
      </c>
      <c r="S656" s="8">
        <v>23</v>
      </c>
      <c r="T656" s="12">
        <f>S656/O656*1000</f>
        <v>3.833333333333333</v>
      </c>
      <c r="U656" s="11" t="s">
        <v>592</v>
      </c>
      <c r="V656" s="11" t="s">
        <v>593</v>
      </c>
      <c r="W656" s="11"/>
      <c r="X656" s="9"/>
      <c r="Y656" s="9"/>
      <c r="Z656" s="8" t="s">
        <v>476</v>
      </c>
      <c r="AA656" s="9"/>
      <c r="AB656" s="9" t="s">
        <v>2347</v>
      </c>
      <c r="AC656" s="46" t="s">
        <v>2351</v>
      </c>
    </row>
    <row r="657" spans="1:29" ht="33.75" customHeight="1">
      <c r="A657" s="9"/>
      <c r="B657" s="8" t="s">
        <v>109</v>
      </c>
      <c r="C657" s="9">
        <v>322200</v>
      </c>
      <c r="D657" s="9">
        <v>509800</v>
      </c>
      <c r="E657" s="9" t="s">
        <v>2142</v>
      </c>
      <c r="F657" s="9"/>
      <c r="G657" s="9"/>
      <c r="H657" s="9" t="s">
        <v>2143</v>
      </c>
      <c r="I657" s="8" t="s">
        <v>2144</v>
      </c>
      <c r="J657" s="9">
        <v>440</v>
      </c>
      <c r="K657" s="11"/>
      <c r="L657" s="11" t="s">
        <v>2</v>
      </c>
      <c r="M657" s="8" t="s">
        <v>592</v>
      </c>
      <c r="N657" s="8" t="s">
        <v>592</v>
      </c>
      <c r="O657" s="11" t="s">
        <v>592</v>
      </c>
      <c r="P657" s="22">
        <v>0</v>
      </c>
      <c r="Q657" s="12"/>
      <c r="R657" s="11" t="s">
        <v>599</v>
      </c>
      <c r="S657" s="8">
        <v>33</v>
      </c>
      <c r="T657" s="12"/>
      <c r="U657" s="11" t="s">
        <v>592</v>
      </c>
      <c r="V657" s="11" t="s">
        <v>593</v>
      </c>
      <c r="W657" s="11"/>
      <c r="X657" s="9"/>
      <c r="Y657" s="9"/>
      <c r="Z657" s="8" t="s">
        <v>477</v>
      </c>
      <c r="AA657" s="9"/>
      <c r="AB657" s="9" t="s">
        <v>2347</v>
      </c>
      <c r="AC657" s="46" t="s">
        <v>2351</v>
      </c>
    </row>
    <row r="658" spans="1:29" ht="33.75" customHeight="1">
      <c r="A658" s="9"/>
      <c r="B658" s="8" t="s">
        <v>109</v>
      </c>
      <c r="C658" s="9">
        <v>339300</v>
      </c>
      <c r="D658" s="9">
        <v>498500</v>
      </c>
      <c r="E658" s="9" t="s">
        <v>2142</v>
      </c>
      <c r="F658" s="9"/>
      <c r="G658" s="9"/>
      <c r="H658" s="9" t="s">
        <v>2145</v>
      </c>
      <c r="I658" s="8" t="s">
        <v>1899</v>
      </c>
      <c r="J658" s="9">
        <v>40</v>
      </c>
      <c r="K658" s="11"/>
      <c r="L658" s="11" t="s">
        <v>2</v>
      </c>
      <c r="M658" s="8" t="s">
        <v>592</v>
      </c>
      <c r="N658" s="8" t="s">
        <v>592</v>
      </c>
      <c r="O658" s="11" t="s">
        <v>592</v>
      </c>
      <c r="P658" s="22">
        <v>1</v>
      </c>
      <c r="Q658" s="12"/>
      <c r="R658" s="11" t="s">
        <v>599</v>
      </c>
      <c r="S658" s="8">
        <v>7</v>
      </c>
      <c r="T658" s="12"/>
      <c r="U658" s="11" t="s">
        <v>592</v>
      </c>
      <c r="V658" s="11" t="s">
        <v>593</v>
      </c>
      <c r="W658" s="11"/>
      <c r="X658" s="9"/>
      <c r="Y658" s="9"/>
      <c r="Z658" s="8" t="s">
        <v>477</v>
      </c>
      <c r="AA658" s="9"/>
      <c r="AB658" s="9" t="s">
        <v>2347</v>
      </c>
      <c r="AC658" s="46" t="s">
        <v>2351</v>
      </c>
    </row>
    <row r="659" spans="1:29" ht="33.75" customHeight="1">
      <c r="A659" s="9"/>
      <c r="B659" s="8" t="s">
        <v>109</v>
      </c>
      <c r="C659" s="9">
        <v>334800</v>
      </c>
      <c r="D659" s="9">
        <v>512100</v>
      </c>
      <c r="E659" s="9" t="s">
        <v>2142</v>
      </c>
      <c r="F659" s="9"/>
      <c r="G659" s="9"/>
      <c r="H659" s="9" t="s">
        <v>2146</v>
      </c>
      <c r="I659" s="8" t="s">
        <v>2147</v>
      </c>
      <c r="J659" s="9">
        <v>550</v>
      </c>
      <c r="K659" s="11"/>
      <c r="L659" s="11" t="s">
        <v>2</v>
      </c>
      <c r="M659" s="8" t="s">
        <v>592</v>
      </c>
      <c r="N659" s="8" t="s">
        <v>592</v>
      </c>
      <c r="O659" s="11" t="s">
        <v>592</v>
      </c>
      <c r="P659" s="22">
        <v>0</v>
      </c>
      <c r="Q659" s="12"/>
      <c r="R659" s="11" t="s">
        <v>599</v>
      </c>
      <c r="S659" s="8">
        <v>20</v>
      </c>
      <c r="T659" s="12"/>
      <c r="U659" s="11" t="s">
        <v>592</v>
      </c>
      <c r="V659" s="11" t="s">
        <v>593</v>
      </c>
      <c r="W659" s="11"/>
      <c r="X659" s="9"/>
      <c r="Y659" s="9"/>
      <c r="Z659" s="8" t="s">
        <v>477</v>
      </c>
      <c r="AA659" s="9"/>
      <c r="AB659" s="9" t="s">
        <v>2347</v>
      </c>
      <c r="AC659" s="46" t="s">
        <v>2351</v>
      </c>
    </row>
    <row r="660" spans="1:29" ht="33.75" customHeight="1">
      <c r="A660" s="9"/>
      <c r="B660" s="8" t="s">
        <v>109</v>
      </c>
      <c r="C660" s="9">
        <v>330300</v>
      </c>
      <c r="D660" s="9">
        <v>494400</v>
      </c>
      <c r="E660" s="9" t="s">
        <v>2148</v>
      </c>
      <c r="F660" s="9"/>
      <c r="G660" s="9"/>
      <c r="H660" s="9" t="s">
        <v>2149</v>
      </c>
      <c r="I660" s="8" t="s">
        <v>2150</v>
      </c>
      <c r="J660" s="9">
        <v>50</v>
      </c>
      <c r="K660" s="11"/>
      <c r="L660" s="11" t="s">
        <v>2</v>
      </c>
      <c r="M660" s="8">
        <v>10000</v>
      </c>
      <c r="N660" s="8">
        <v>1110</v>
      </c>
      <c r="O660" s="11">
        <f>M660-N660</f>
        <v>8890</v>
      </c>
      <c r="P660" s="22">
        <v>8</v>
      </c>
      <c r="Q660" s="12">
        <f>P660/O660*1000</f>
        <v>0.89988751406074241</v>
      </c>
      <c r="R660" s="11" t="s">
        <v>599</v>
      </c>
      <c r="S660" s="8">
        <v>35</v>
      </c>
      <c r="T660" s="12">
        <f>S660/O660*1000</f>
        <v>3.9370078740157481</v>
      </c>
      <c r="U660" s="11" t="s">
        <v>592</v>
      </c>
      <c r="V660" s="11" t="s">
        <v>593</v>
      </c>
      <c r="W660" s="11"/>
      <c r="X660" s="9"/>
      <c r="Y660" s="9"/>
      <c r="Z660" s="8" t="s">
        <v>478</v>
      </c>
      <c r="AA660" s="9"/>
      <c r="AB660" s="9" t="s">
        <v>2347</v>
      </c>
      <c r="AC660" s="46" t="s">
        <v>2351</v>
      </c>
    </row>
    <row r="661" spans="1:29" ht="33.75" customHeight="1">
      <c r="A661" s="9"/>
      <c r="B661" s="8" t="s">
        <v>109</v>
      </c>
      <c r="C661" s="9">
        <v>347800</v>
      </c>
      <c r="D661" s="9">
        <v>513800</v>
      </c>
      <c r="E661" s="9" t="s">
        <v>2151</v>
      </c>
      <c r="F661" s="9"/>
      <c r="G661" s="9"/>
      <c r="H661" s="9" t="s">
        <v>2152</v>
      </c>
      <c r="I661" s="8" t="s">
        <v>2153</v>
      </c>
      <c r="J661" s="9">
        <v>250</v>
      </c>
      <c r="K661" s="11"/>
      <c r="L661" s="11" t="s">
        <v>2</v>
      </c>
      <c r="M661" s="8">
        <v>13000</v>
      </c>
      <c r="N661" s="8">
        <v>10500</v>
      </c>
      <c r="O661" s="11">
        <f>M661-N661</f>
        <v>2500</v>
      </c>
      <c r="P661" s="22">
        <v>3</v>
      </c>
      <c r="Q661" s="12">
        <f>P661/O661*1000</f>
        <v>1.2</v>
      </c>
      <c r="R661" s="11" t="s">
        <v>599</v>
      </c>
      <c r="S661" s="8">
        <v>7</v>
      </c>
      <c r="T661" s="12">
        <f>S661/O661*1000</f>
        <v>2.8</v>
      </c>
      <c r="U661" s="11" t="s">
        <v>592</v>
      </c>
      <c r="V661" s="11" t="s">
        <v>593</v>
      </c>
      <c r="W661" s="11"/>
      <c r="X661" s="9"/>
      <c r="Y661" s="9"/>
      <c r="Z661" s="8" t="s">
        <v>1962</v>
      </c>
      <c r="AA661" s="9"/>
      <c r="AB661" s="9" t="s">
        <v>2347</v>
      </c>
      <c r="AC661" s="46" t="s">
        <v>2351</v>
      </c>
    </row>
    <row r="662" spans="1:29" ht="33.75" customHeight="1">
      <c r="A662" s="9"/>
      <c r="B662" s="8" t="s">
        <v>109</v>
      </c>
      <c r="C662" s="9">
        <v>348300</v>
      </c>
      <c r="D662" s="9">
        <v>475700</v>
      </c>
      <c r="E662" s="9" t="s">
        <v>2154</v>
      </c>
      <c r="F662" s="9"/>
      <c r="G662" s="9"/>
      <c r="H662" s="9" t="s">
        <v>2155</v>
      </c>
      <c r="I662" s="8" t="s">
        <v>2156</v>
      </c>
      <c r="J662" s="9">
        <v>20</v>
      </c>
      <c r="K662" s="11"/>
      <c r="L662" s="11" t="s">
        <v>2</v>
      </c>
      <c r="M662" s="8" t="s">
        <v>592</v>
      </c>
      <c r="N662" s="8" t="s">
        <v>592</v>
      </c>
      <c r="O662" s="11" t="s">
        <v>592</v>
      </c>
      <c r="P662" s="22">
        <v>0</v>
      </c>
      <c r="Q662" s="12"/>
      <c r="R662" s="11" t="s">
        <v>599</v>
      </c>
      <c r="S662" s="8">
        <v>6</v>
      </c>
      <c r="T662" s="12"/>
      <c r="U662" s="11" t="s">
        <v>592</v>
      </c>
      <c r="V662" s="11" t="s">
        <v>593</v>
      </c>
      <c r="W662" s="11"/>
      <c r="X662" s="9"/>
      <c r="Y662" s="9"/>
      <c r="Z662" s="8" t="s">
        <v>479</v>
      </c>
      <c r="AA662" s="9"/>
      <c r="AB662" s="9" t="s">
        <v>2347</v>
      </c>
      <c r="AC662" s="46" t="s">
        <v>2351</v>
      </c>
    </row>
    <row r="663" spans="1:29" ht="33.75" customHeight="1">
      <c r="A663" s="9"/>
      <c r="B663" s="8" t="s">
        <v>109</v>
      </c>
      <c r="C663" s="9">
        <v>348400</v>
      </c>
      <c r="D663" s="9">
        <v>475500</v>
      </c>
      <c r="E663" s="9" t="s">
        <v>2154</v>
      </c>
      <c r="F663" s="9"/>
      <c r="G663" s="9"/>
      <c r="H663" s="9" t="s">
        <v>2157</v>
      </c>
      <c r="I663" s="8" t="s">
        <v>2158</v>
      </c>
      <c r="J663" s="9">
        <v>20</v>
      </c>
      <c r="K663" s="11"/>
      <c r="L663" s="11" t="s">
        <v>2</v>
      </c>
      <c r="M663" s="8" t="s">
        <v>592</v>
      </c>
      <c r="N663" s="8" t="s">
        <v>592</v>
      </c>
      <c r="O663" s="11" t="s">
        <v>592</v>
      </c>
      <c r="P663" s="22">
        <v>0</v>
      </c>
      <c r="Q663" s="12"/>
      <c r="R663" s="11" t="s">
        <v>599</v>
      </c>
      <c r="S663" s="8">
        <v>12</v>
      </c>
      <c r="T663" s="12"/>
      <c r="U663" s="11" t="s">
        <v>592</v>
      </c>
      <c r="V663" s="11" t="s">
        <v>593</v>
      </c>
      <c r="W663" s="11"/>
      <c r="X663" s="9"/>
      <c r="Y663" s="9"/>
      <c r="Z663" s="8" t="s">
        <v>479</v>
      </c>
      <c r="AA663" s="9"/>
      <c r="AB663" s="9" t="s">
        <v>2347</v>
      </c>
      <c r="AC663" s="46" t="s">
        <v>2351</v>
      </c>
    </row>
    <row r="664" spans="1:29" ht="33.75" customHeight="1">
      <c r="A664" s="9"/>
      <c r="B664" s="8" t="s">
        <v>109</v>
      </c>
      <c r="C664" s="9">
        <v>348400</v>
      </c>
      <c r="D664" s="9">
        <v>475600</v>
      </c>
      <c r="E664" s="9" t="s">
        <v>2154</v>
      </c>
      <c r="F664" s="9"/>
      <c r="G664" s="9"/>
      <c r="H664" s="9" t="s">
        <v>2159</v>
      </c>
      <c r="I664" s="8" t="s">
        <v>2160</v>
      </c>
      <c r="J664" s="9">
        <v>20</v>
      </c>
      <c r="K664" s="11"/>
      <c r="L664" s="11" t="s">
        <v>2</v>
      </c>
      <c r="M664" s="8" t="s">
        <v>592</v>
      </c>
      <c r="N664" s="8" t="s">
        <v>592</v>
      </c>
      <c r="O664" s="11" t="s">
        <v>592</v>
      </c>
      <c r="P664" s="22">
        <v>0</v>
      </c>
      <c r="Q664" s="12"/>
      <c r="R664" s="11" t="s">
        <v>599</v>
      </c>
      <c r="S664" s="8">
        <v>14</v>
      </c>
      <c r="T664" s="12"/>
      <c r="U664" s="11" t="s">
        <v>592</v>
      </c>
      <c r="V664" s="11" t="s">
        <v>594</v>
      </c>
      <c r="W664" s="11"/>
      <c r="X664" s="9"/>
      <c r="Y664" s="9"/>
      <c r="Z664" s="8" t="s">
        <v>479</v>
      </c>
      <c r="AA664" s="9"/>
      <c r="AB664" s="9" t="s">
        <v>2347</v>
      </c>
      <c r="AC664" s="46" t="s">
        <v>2351</v>
      </c>
    </row>
    <row r="665" spans="1:29" ht="33.75" customHeight="1">
      <c r="A665" s="9"/>
      <c r="B665" s="8" t="s">
        <v>109</v>
      </c>
      <c r="C665" s="9">
        <v>347700</v>
      </c>
      <c r="D665" s="9">
        <v>476600</v>
      </c>
      <c r="E665" s="9" t="s">
        <v>2154</v>
      </c>
      <c r="F665" s="9"/>
      <c r="G665" s="9"/>
      <c r="H665" s="9" t="s">
        <v>2161</v>
      </c>
      <c r="I665" s="8" t="s">
        <v>80</v>
      </c>
      <c r="J665" s="9">
        <v>20</v>
      </c>
      <c r="K665" s="11"/>
      <c r="L665" s="11" t="s">
        <v>2</v>
      </c>
      <c r="M665" s="8" t="s">
        <v>592</v>
      </c>
      <c r="N665" s="8" t="s">
        <v>592</v>
      </c>
      <c r="O665" s="11" t="s">
        <v>592</v>
      </c>
      <c r="P665" s="22">
        <v>0</v>
      </c>
      <c r="Q665" s="12"/>
      <c r="R665" s="11" t="s">
        <v>599</v>
      </c>
      <c r="S665" s="8">
        <v>98</v>
      </c>
      <c r="T665" s="12"/>
      <c r="U665" s="11">
        <v>400</v>
      </c>
      <c r="V665" s="11" t="s">
        <v>594</v>
      </c>
      <c r="W665" s="11"/>
      <c r="X665" s="9"/>
      <c r="Y665" s="9"/>
      <c r="Z665" s="8" t="s">
        <v>479</v>
      </c>
      <c r="AA665" s="9"/>
      <c r="AB665" s="9" t="s">
        <v>2347</v>
      </c>
      <c r="AC665" s="46" t="s">
        <v>2351</v>
      </c>
    </row>
    <row r="666" spans="1:29" ht="33.75" customHeight="1">
      <c r="A666" s="9">
        <v>41</v>
      </c>
      <c r="B666" s="8" t="s">
        <v>109</v>
      </c>
      <c r="C666" s="9">
        <v>364100</v>
      </c>
      <c r="D666" s="9">
        <v>512900</v>
      </c>
      <c r="E666" s="9" t="s">
        <v>2162</v>
      </c>
      <c r="F666" s="9"/>
      <c r="G666" s="9"/>
      <c r="H666" s="9" t="s">
        <v>2163</v>
      </c>
      <c r="I666" s="8" t="s">
        <v>2164</v>
      </c>
      <c r="J666" s="9">
        <v>290</v>
      </c>
      <c r="K666" s="11" t="s">
        <v>2165</v>
      </c>
      <c r="L666" s="11" t="s">
        <v>2</v>
      </c>
      <c r="M666" s="8">
        <v>7562</v>
      </c>
      <c r="N666" s="8">
        <v>830</v>
      </c>
      <c r="O666" s="11">
        <f>M666-N666</f>
        <v>6732</v>
      </c>
      <c r="P666" s="22">
        <v>3</v>
      </c>
      <c r="Q666" s="12">
        <f>P666/O666*1000</f>
        <v>0.44563279857397503</v>
      </c>
      <c r="R666" s="11" t="s">
        <v>237</v>
      </c>
      <c r="S666" s="8">
        <v>20</v>
      </c>
      <c r="T666" s="12">
        <f>S666/O666*1000</f>
        <v>2.9708853238265003</v>
      </c>
      <c r="U666" s="11" t="s">
        <v>592</v>
      </c>
      <c r="V666" s="11" t="s">
        <v>593</v>
      </c>
      <c r="W666" s="11" t="s">
        <v>2166</v>
      </c>
      <c r="X666" s="9" t="s">
        <v>171</v>
      </c>
      <c r="Y666" s="9" t="s">
        <v>100</v>
      </c>
      <c r="Z666" s="8" t="s">
        <v>2167</v>
      </c>
      <c r="AA666" s="9"/>
      <c r="AB666" s="9" t="s">
        <v>2347</v>
      </c>
      <c r="AC666" s="46" t="s">
        <v>2351</v>
      </c>
    </row>
    <row r="667" spans="1:29" ht="33.75" customHeight="1">
      <c r="A667" s="9"/>
      <c r="B667" s="8" t="s">
        <v>109</v>
      </c>
      <c r="C667" s="9">
        <v>343700</v>
      </c>
      <c r="D667" s="9">
        <v>485700</v>
      </c>
      <c r="E667" s="9" t="s">
        <v>2168</v>
      </c>
      <c r="F667" s="9"/>
      <c r="G667" s="9"/>
      <c r="H667" s="9" t="s">
        <v>2169</v>
      </c>
      <c r="I667" s="8" t="s">
        <v>2010</v>
      </c>
      <c r="J667" s="9">
        <v>50</v>
      </c>
      <c r="K667" s="11"/>
      <c r="L667" s="11" t="s">
        <v>2</v>
      </c>
      <c r="M667" s="8" t="s">
        <v>592</v>
      </c>
      <c r="N667" s="8" t="s">
        <v>592</v>
      </c>
      <c r="O667" s="11" t="s">
        <v>592</v>
      </c>
      <c r="P667" s="22">
        <v>0</v>
      </c>
      <c r="Q667" s="12"/>
      <c r="R667" s="11" t="s">
        <v>599</v>
      </c>
      <c r="S667" s="8">
        <v>76</v>
      </c>
      <c r="T667" s="12"/>
      <c r="U667" s="11">
        <v>400</v>
      </c>
      <c r="V667" s="11" t="s">
        <v>594</v>
      </c>
      <c r="W667" s="11"/>
      <c r="X667" s="9"/>
      <c r="Y667" s="9"/>
      <c r="Z667" s="8" t="s">
        <v>2170</v>
      </c>
      <c r="AA667" s="9"/>
      <c r="AB667" s="9" t="s">
        <v>2347</v>
      </c>
      <c r="AC667" s="46" t="s">
        <v>2351</v>
      </c>
    </row>
    <row r="668" spans="1:29" ht="33.75" customHeight="1">
      <c r="A668" s="9"/>
      <c r="B668" s="8" t="s">
        <v>109</v>
      </c>
      <c r="C668" s="9">
        <v>341900</v>
      </c>
      <c r="D668" s="9">
        <v>484900</v>
      </c>
      <c r="E668" s="9" t="s">
        <v>2168</v>
      </c>
      <c r="F668" s="9"/>
      <c r="G668" s="9"/>
      <c r="H668" s="9" t="s">
        <v>2171</v>
      </c>
      <c r="I668" s="8" t="s">
        <v>2172</v>
      </c>
      <c r="J668" s="9">
        <v>5</v>
      </c>
      <c r="K668" s="11"/>
      <c r="L668" s="11" t="s">
        <v>2</v>
      </c>
      <c r="M668" s="8" t="s">
        <v>592</v>
      </c>
      <c r="N668" s="8" t="s">
        <v>592</v>
      </c>
      <c r="O668" s="11" t="s">
        <v>592</v>
      </c>
      <c r="P668" s="22">
        <v>0</v>
      </c>
      <c r="Q668" s="12"/>
      <c r="R668" s="11" t="s">
        <v>599</v>
      </c>
      <c r="S668" s="8">
        <v>33</v>
      </c>
      <c r="T668" s="12"/>
      <c r="U668" s="11">
        <v>400</v>
      </c>
      <c r="V668" s="11" t="s">
        <v>594</v>
      </c>
      <c r="W668" s="11"/>
      <c r="X668" s="9"/>
      <c r="Y668" s="9"/>
      <c r="Z668" s="8" t="s">
        <v>2170</v>
      </c>
      <c r="AA668" s="9"/>
      <c r="AB668" s="9" t="s">
        <v>2347</v>
      </c>
      <c r="AC668" s="46" t="s">
        <v>2351</v>
      </c>
    </row>
    <row r="669" spans="1:29" ht="33.75" customHeight="1">
      <c r="A669" s="9"/>
      <c r="B669" s="8" t="s">
        <v>109</v>
      </c>
      <c r="C669" s="9">
        <v>345900</v>
      </c>
      <c r="D669" s="9">
        <v>483900</v>
      </c>
      <c r="E669" s="9" t="s">
        <v>2173</v>
      </c>
      <c r="F669" s="9"/>
      <c r="G669" s="9"/>
      <c r="H669" s="9" t="s">
        <v>2174</v>
      </c>
      <c r="I669" s="8" t="s">
        <v>1128</v>
      </c>
      <c r="J669" s="9">
        <v>8</v>
      </c>
      <c r="K669" s="11"/>
      <c r="L669" s="11" t="s">
        <v>2</v>
      </c>
      <c r="M669" s="8" t="s">
        <v>592</v>
      </c>
      <c r="N669" s="8" t="s">
        <v>592</v>
      </c>
      <c r="O669" s="11" t="s">
        <v>592</v>
      </c>
      <c r="P669" s="22">
        <v>0</v>
      </c>
      <c r="Q669" s="12"/>
      <c r="R669" s="11" t="s">
        <v>237</v>
      </c>
      <c r="S669" s="8">
        <v>26</v>
      </c>
      <c r="T669" s="12"/>
      <c r="U669" s="11" t="s">
        <v>592</v>
      </c>
      <c r="V669" s="11" t="s">
        <v>594</v>
      </c>
      <c r="W669" s="11"/>
      <c r="X669" s="9"/>
      <c r="Y669" s="9"/>
      <c r="Z669" s="8" t="s">
        <v>2175</v>
      </c>
      <c r="AA669" s="9"/>
      <c r="AB669" s="9" t="s">
        <v>2347</v>
      </c>
      <c r="AC669" s="46" t="s">
        <v>2351</v>
      </c>
    </row>
    <row r="670" spans="1:29" ht="33.75" customHeight="1">
      <c r="A670" s="9"/>
      <c r="B670" s="8" t="s">
        <v>109</v>
      </c>
      <c r="C670" s="9">
        <v>346700</v>
      </c>
      <c r="D670" s="9">
        <v>488900</v>
      </c>
      <c r="E670" s="9" t="s">
        <v>2173</v>
      </c>
      <c r="F670" s="9"/>
      <c r="G670" s="9"/>
      <c r="H670" s="9" t="s">
        <v>2176</v>
      </c>
      <c r="I670" s="8" t="s">
        <v>1129</v>
      </c>
      <c r="J670" s="9">
        <v>8</v>
      </c>
      <c r="K670" s="11"/>
      <c r="L670" s="11" t="s">
        <v>2</v>
      </c>
      <c r="M670" s="8" t="s">
        <v>592</v>
      </c>
      <c r="N670" s="8" t="s">
        <v>592</v>
      </c>
      <c r="O670" s="11" t="s">
        <v>592</v>
      </c>
      <c r="P670" s="22">
        <v>0</v>
      </c>
      <c r="Q670" s="12"/>
      <c r="R670" s="11" t="s">
        <v>237</v>
      </c>
      <c r="S670" s="8">
        <v>24</v>
      </c>
      <c r="T670" s="12"/>
      <c r="U670" s="11" t="s">
        <v>592</v>
      </c>
      <c r="V670" s="11" t="s">
        <v>594</v>
      </c>
      <c r="W670" s="11"/>
      <c r="X670" s="9"/>
      <c r="Y670" s="9"/>
      <c r="Z670" s="8" t="s">
        <v>2175</v>
      </c>
      <c r="AA670" s="9"/>
      <c r="AB670" s="9" t="s">
        <v>2347</v>
      </c>
      <c r="AC670" s="46" t="s">
        <v>2351</v>
      </c>
    </row>
    <row r="671" spans="1:29" ht="33.75" customHeight="1">
      <c r="A671" s="9"/>
      <c r="B671" s="8" t="s">
        <v>109</v>
      </c>
      <c r="C671" s="9">
        <v>342800</v>
      </c>
      <c r="D671" s="9">
        <v>484900</v>
      </c>
      <c r="E671" s="9" t="s">
        <v>2173</v>
      </c>
      <c r="F671" s="9"/>
      <c r="G671" s="9"/>
      <c r="H671" s="9" t="s">
        <v>2177</v>
      </c>
      <c r="I671" s="8" t="s">
        <v>1130</v>
      </c>
      <c r="J671" s="9">
        <v>8</v>
      </c>
      <c r="K671" s="11"/>
      <c r="L671" s="11" t="s">
        <v>2</v>
      </c>
      <c r="M671" s="8" t="s">
        <v>592</v>
      </c>
      <c r="N671" s="8" t="s">
        <v>592</v>
      </c>
      <c r="O671" s="11" t="s">
        <v>592</v>
      </c>
      <c r="P671" s="22">
        <v>0</v>
      </c>
      <c r="Q671" s="12"/>
      <c r="R671" s="11" t="s">
        <v>237</v>
      </c>
      <c r="S671" s="8">
        <v>40</v>
      </c>
      <c r="T671" s="12"/>
      <c r="U671" s="11" t="s">
        <v>592</v>
      </c>
      <c r="V671" s="11" t="s">
        <v>594</v>
      </c>
      <c r="W671" s="11"/>
      <c r="X671" s="9"/>
      <c r="Y671" s="9"/>
      <c r="Z671" s="8" t="s">
        <v>2175</v>
      </c>
      <c r="AA671" s="9"/>
      <c r="AB671" s="9" t="s">
        <v>2347</v>
      </c>
      <c r="AC671" s="46" t="s">
        <v>2351</v>
      </c>
    </row>
    <row r="672" spans="1:29" ht="33.75" customHeight="1">
      <c r="A672" s="9"/>
      <c r="B672" s="8" t="s">
        <v>109</v>
      </c>
      <c r="C672" s="9">
        <v>353300</v>
      </c>
      <c r="D672" s="9">
        <v>496700</v>
      </c>
      <c r="E672" s="9" t="s">
        <v>2178</v>
      </c>
      <c r="F672" s="9"/>
      <c r="G672" s="9"/>
      <c r="H672" s="9" t="s">
        <v>2179</v>
      </c>
      <c r="I672" s="8" t="s">
        <v>2180</v>
      </c>
      <c r="J672" s="9">
        <v>130</v>
      </c>
      <c r="K672" s="11"/>
      <c r="L672" s="11" t="s">
        <v>2</v>
      </c>
      <c r="M672" s="8" t="s">
        <v>592</v>
      </c>
      <c r="N672" s="8" t="s">
        <v>592</v>
      </c>
      <c r="O672" s="11" t="s">
        <v>592</v>
      </c>
      <c r="P672" s="22">
        <v>0</v>
      </c>
      <c r="Q672" s="12"/>
      <c r="R672" s="11" t="s">
        <v>237</v>
      </c>
      <c r="S672" s="8">
        <v>53</v>
      </c>
      <c r="T672" s="12"/>
      <c r="U672" s="11" t="s">
        <v>592</v>
      </c>
      <c r="V672" s="11" t="s">
        <v>594</v>
      </c>
      <c r="W672" s="11"/>
      <c r="X672" s="9"/>
      <c r="Y672" s="9"/>
      <c r="Z672" s="8" t="s">
        <v>484</v>
      </c>
      <c r="AA672" s="9"/>
      <c r="AB672" s="9" t="s">
        <v>2347</v>
      </c>
      <c r="AC672" s="46" t="s">
        <v>2351</v>
      </c>
    </row>
    <row r="673" spans="1:29" ht="33.75" customHeight="1">
      <c r="A673" s="9"/>
      <c r="B673" s="8" t="s">
        <v>109</v>
      </c>
      <c r="C673" s="9">
        <v>345500</v>
      </c>
      <c r="D673" s="9">
        <v>502400</v>
      </c>
      <c r="E673" s="9" t="s">
        <v>2178</v>
      </c>
      <c r="F673" s="9"/>
      <c r="G673" s="9"/>
      <c r="H673" s="9" t="s">
        <v>2181</v>
      </c>
      <c r="I673" s="8" t="s">
        <v>2182</v>
      </c>
      <c r="J673" s="9">
        <v>150</v>
      </c>
      <c r="K673" s="11"/>
      <c r="L673" s="11" t="s">
        <v>2</v>
      </c>
      <c r="M673" s="8" t="s">
        <v>592</v>
      </c>
      <c r="N673" s="8" t="s">
        <v>592</v>
      </c>
      <c r="O673" s="11" t="s">
        <v>592</v>
      </c>
      <c r="P673" s="22">
        <v>0</v>
      </c>
      <c r="Q673" s="12"/>
      <c r="R673" s="11" t="s">
        <v>237</v>
      </c>
      <c r="S673" s="8">
        <v>48</v>
      </c>
      <c r="T673" s="12"/>
      <c r="U673" s="11" t="s">
        <v>592</v>
      </c>
      <c r="V673" s="11" t="s">
        <v>594</v>
      </c>
      <c r="W673" s="11"/>
      <c r="X673" s="9"/>
      <c r="Y673" s="9"/>
      <c r="Z673" s="8" t="s">
        <v>484</v>
      </c>
      <c r="AA673" s="9"/>
      <c r="AB673" s="9" t="s">
        <v>2347</v>
      </c>
      <c r="AC673" s="46" t="s">
        <v>2351</v>
      </c>
    </row>
    <row r="674" spans="1:29" ht="33.75" customHeight="1">
      <c r="A674" s="9"/>
      <c r="B674" s="8" t="s">
        <v>109</v>
      </c>
      <c r="C674" s="9">
        <v>345600</v>
      </c>
      <c r="D674" s="9">
        <v>502300</v>
      </c>
      <c r="E674" s="9" t="s">
        <v>2178</v>
      </c>
      <c r="F674" s="9"/>
      <c r="G674" s="9"/>
      <c r="H674" s="9" t="s">
        <v>2183</v>
      </c>
      <c r="I674" s="8" t="s">
        <v>2184</v>
      </c>
      <c r="J674" s="9">
        <v>150</v>
      </c>
      <c r="K674" s="11"/>
      <c r="L674" s="11" t="s">
        <v>2</v>
      </c>
      <c r="M674" s="8" t="s">
        <v>592</v>
      </c>
      <c r="N674" s="8" t="s">
        <v>592</v>
      </c>
      <c r="O674" s="11" t="s">
        <v>592</v>
      </c>
      <c r="P674" s="22">
        <v>0</v>
      </c>
      <c r="Q674" s="12"/>
      <c r="R674" s="11" t="s">
        <v>237</v>
      </c>
      <c r="S674" s="8">
        <v>22</v>
      </c>
      <c r="T674" s="12"/>
      <c r="U674" s="11" t="s">
        <v>592</v>
      </c>
      <c r="V674" s="11" t="s">
        <v>593</v>
      </c>
      <c r="W674" s="11"/>
      <c r="X674" s="9"/>
      <c r="Y674" s="9"/>
      <c r="Z674" s="8" t="s">
        <v>484</v>
      </c>
      <c r="AA674" s="9"/>
      <c r="AB674" s="9" t="s">
        <v>2347</v>
      </c>
      <c r="AC674" s="46" t="s">
        <v>2351</v>
      </c>
    </row>
    <row r="675" spans="1:29" ht="33.75" customHeight="1">
      <c r="A675" s="9"/>
      <c r="B675" s="8" t="s">
        <v>109</v>
      </c>
      <c r="C675" s="9">
        <v>345500</v>
      </c>
      <c r="D675" s="9">
        <v>502500</v>
      </c>
      <c r="E675" s="9" t="s">
        <v>2178</v>
      </c>
      <c r="F675" s="9"/>
      <c r="G675" s="9"/>
      <c r="H675" s="9" t="s">
        <v>2185</v>
      </c>
      <c r="I675" s="8" t="s">
        <v>2186</v>
      </c>
      <c r="J675" s="9">
        <v>150</v>
      </c>
      <c r="K675" s="11"/>
      <c r="L675" s="11" t="s">
        <v>2</v>
      </c>
      <c r="M675" s="8" t="s">
        <v>592</v>
      </c>
      <c r="N675" s="8" t="s">
        <v>592</v>
      </c>
      <c r="O675" s="11" t="s">
        <v>592</v>
      </c>
      <c r="P675" s="22">
        <v>0</v>
      </c>
      <c r="Q675" s="12"/>
      <c r="R675" s="11" t="s">
        <v>237</v>
      </c>
      <c r="S675" s="8">
        <v>12</v>
      </c>
      <c r="T675" s="12"/>
      <c r="U675" s="11" t="s">
        <v>592</v>
      </c>
      <c r="V675" s="11" t="s">
        <v>593</v>
      </c>
      <c r="W675" s="11"/>
      <c r="X675" s="9"/>
      <c r="Y675" s="9"/>
      <c r="Z675" s="8" t="s">
        <v>484</v>
      </c>
      <c r="AA675" s="9"/>
      <c r="AB675" s="9" t="s">
        <v>2347</v>
      </c>
      <c r="AC675" s="46" t="s">
        <v>2351</v>
      </c>
    </row>
    <row r="676" spans="1:29" ht="33.75" customHeight="1">
      <c r="A676" s="9"/>
      <c r="B676" s="8" t="s">
        <v>109</v>
      </c>
      <c r="C676" s="9">
        <v>353400</v>
      </c>
      <c r="D676" s="9">
        <v>496700</v>
      </c>
      <c r="E676" s="9" t="s">
        <v>2178</v>
      </c>
      <c r="F676" s="9"/>
      <c r="G676" s="9"/>
      <c r="H676" s="9" t="s">
        <v>2187</v>
      </c>
      <c r="I676" s="8" t="s">
        <v>2188</v>
      </c>
      <c r="J676" s="9">
        <v>130</v>
      </c>
      <c r="K676" s="11"/>
      <c r="L676" s="11" t="s">
        <v>2</v>
      </c>
      <c r="M676" s="8" t="s">
        <v>592</v>
      </c>
      <c r="N676" s="8" t="s">
        <v>592</v>
      </c>
      <c r="O676" s="11" t="s">
        <v>592</v>
      </c>
      <c r="P676" s="22">
        <v>0</v>
      </c>
      <c r="Q676" s="12"/>
      <c r="R676" s="11" t="s">
        <v>237</v>
      </c>
      <c r="S676" s="8">
        <v>8</v>
      </c>
      <c r="T676" s="12"/>
      <c r="U676" s="11" t="s">
        <v>592</v>
      </c>
      <c r="V676" s="11" t="s">
        <v>593</v>
      </c>
      <c r="W676" s="11"/>
      <c r="X676" s="9"/>
      <c r="Y676" s="9"/>
      <c r="Z676" s="8" t="s">
        <v>484</v>
      </c>
      <c r="AA676" s="9"/>
      <c r="AB676" s="9" t="s">
        <v>2347</v>
      </c>
      <c r="AC676" s="46" t="s">
        <v>2351</v>
      </c>
    </row>
    <row r="677" spans="1:29" ht="33.75" customHeight="1">
      <c r="A677" s="9"/>
      <c r="B677" s="8" t="s">
        <v>109</v>
      </c>
      <c r="C677" s="9">
        <v>343100</v>
      </c>
      <c r="D677" s="9">
        <v>463700</v>
      </c>
      <c r="E677" s="9" t="s">
        <v>2189</v>
      </c>
      <c r="F677" s="9"/>
      <c r="G677" s="9"/>
      <c r="H677" s="9" t="s">
        <v>2190</v>
      </c>
      <c r="I677" s="8" t="s">
        <v>2191</v>
      </c>
      <c r="J677" s="9">
        <v>30</v>
      </c>
      <c r="K677" s="11"/>
      <c r="L677" s="11" t="s">
        <v>2</v>
      </c>
      <c r="M677" s="8">
        <v>8368</v>
      </c>
      <c r="N677" s="8">
        <v>1936</v>
      </c>
      <c r="O677" s="11">
        <f>M677-N677</f>
        <v>6432</v>
      </c>
      <c r="P677" s="22">
        <v>16</v>
      </c>
      <c r="Q677" s="12">
        <f>P677/O677*1000</f>
        <v>2.4875621890547261</v>
      </c>
      <c r="R677" s="11" t="s">
        <v>237</v>
      </c>
      <c r="S677" s="8">
        <v>38</v>
      </c>
      <c r="T677" s="12">
        <f>S677/O677*1000</f>
        <v>5.9079601990049753</v>
      </c>
      <c r="U677" s="11" t="s">
        <v>592</v>
      </c>
      <c r="V677" s="11" t="s">
        <v>594</v>
      </c>
      <c r="W677" s="11"/>
      <c r="X677" s="9"/>
      <c r="Y677" s="9"/>
      <c r="Z677" s="8" t="s">
        <v>2192</v>
      </c>
      <c r="AA677" s="9"/>
      <c r="AB677" s="9" t="s">
        <v>2347</v>
      </c>
      <c r="AC677" s="46" t="s">
        <v>2351</v>
      </c>
    </row>
    <row r="678" spans="1:29" ht="33.75" customHeight="1">
      <c r="A678" s="9"/>
      <c r="B678" s="8" t="s">
        <v>109</v>
      </c>
      <c r="C678" s="9">
        <v>343200</v>
      </c>
      <c r="D678" s="9">
        <v>463700</v>
      </c>
      <c r="E678" s="9" t="s">
        <v>2189</v>
      </c>
      <c r="F678" s="9"/>
      <c r="G678" s="9"/>
      <c r="H678" s="9" t="s">
        <v>2193</v>
      </c>
      <c r="I678" s="8" t="s">
        <v>2194</v>
      </c>
      <c r="J678" s="9">
        <v>30</v>
      </c>
      <c r="K678" s="11"/>
      <c r="L678" s="11" t="s">
        <v>2</v>
      </c>
      <c r="M678" s="8">
        <v>8748</v>
      </c>
      <c r="N678" s="8">
        <v>7052</v>
      </c>
      <c r="O678" s="11">
        <f>M678-N678</f>
        <v>1696</v>
      </c>
      <c r="P678" s="22">
        <v>10</v>
      </c>
      <c r="Q678" s="12">
        <f>P678/O678*1000</f>
        <v>5.8962264150943398</v>
      </c>
      <c r="R678" s="11" t="s">
        <v>237</v>
      </c>
      <c r="S678" s="8">
        <v>25</v>
      </c>
      <c r="T678" s="12">
        <f>S678/O678*1000</f>
        <v>14.740566037735849</v>
      </c>
      <c r="U678" s="11" t="s">
        <v>592</v>
      </c>
      <c r="V678" s="11" t="s">
        <v>594</v>
      </c>
      <c r="W678" s="11"/>
      <c r="X678" s="9"/>
      <c r="Y678" s="9"/>
      <c r="Z678" s="8" t="s">
        <v>2192</v>
      </c>
      <c r="AA678" s="9"/>
      <c r="AB678" s="9" t="s">
        <v>2347</v>
      </c>
      <c r="AC678" s="46" t="s">
        <v>2351</v>
      </c>
    </row>
    <row r="679" spans="1:29" ht="33.75" customHeight="1">
      <c r="A679" s="9"/>
      <c r="B679" s="8" t="s">
        <v>109</v>
      </c>
      <c r="C679" s="9">
        <v>325400</v>
      </c>
      <c r="D679" s="9">
        <v>551300</v>
      </c>
      <c r="E679" s="9" t="s">
        <v>2189</v>
      </c>
      <c r="F679" s="9"/>
      <c r="G679" s="9"/>
      <c r="H679" s="9" t="s">
        <v>2195</v>
      </c>
      <c r="I679" s="8" t="s">
        <v>2196</v>
      </c>
      <c r="J679" s="9">
        <v>18</v>
      </c>
      <c r="K679" s="11"/>
      <c r="L679" s="11" t="s">
        <v>2</v>
      </c>
      <c r="M679" s="8" t="s">
        <v>592</v>
      </c>
      <c r="N679" s="8" t="s">
        <v>592</v>
      </c>
      <c r="O679" s="11" t="s">
        <v>592</v>
      </c>
      <c r="P679" s="22">
        <v>0</v>
      </c>
      <c r="Q679" s="12"/>
      <c r="R679" s="11" t="s">
        <v>237</v>
      </c>
      <c r="S679" s="8">
        <v>31</v>
      </c>
      <c r="T679" s="12"/>
      <c r="U679" s="11" t="s">
        <v>592</v>
      </c>
      <c r="V679" s="11" t="s">
        <v>594</v>
      </c>
      <c r="W679" s="11"/>
      <c r="X679" s="9"/>
      <c r="Y679" s="9"/>
      <c r="Z679" s="8" t="s">
        <v>2192</v>
      </c>
      <c r="AA679" s="9"/>
      <c r="AB679" s="9" t="s">
        <v>2347</v>
      </c>
      <c r="AC679" s="46" t="s">
        <v>2351</v>
      </c>
    </row>
    <row r="680" spans="1:29" ht="33.75" customHeight="1">
      <c r="A680" s="9"/>
      <c r="B680" s="8" t="s">
        <v>109</v>
      </c>
      <c r="C680" s="9">
        <v>325100</v>
      </c>
      <c r="D680" s="9">
        <v>551300</v>
      </c>
      <c r="E680" s="9" t="s">
        <v>2189</v>
      </c>
      <c r="F680" s="9"/>
      <c r="G680" s="9"/>
      <c r="H680" s="9" t="s">
        <v>2197</v>
      </c>
      <c r="I680" s="8" t="s">
        <v>2198</v>
      </c>
      <c r="J680" s="9">
        <v>18</v>
      </c>
      <c r="K680" s="11"/>
      <c r="L680" s="11" t="s">
        <v>2</v>
      </c>
      <c r="M680" s="8" t="s">
        <v>592</v>
      </c>
      <c r="N680" s="8" t="s">
        <v>592</v>
      </c>
      <c r="O680" s="11" t="s">
        <v>592</v>
      </c>
      <c r="P680" s="22">
        <v>0</v>
      </c>
      <c r="Q680" s="12"/>
      <c r="R680" s="11" t="s">
        <v>237</v>
      </c>
      <c r="S680" s="8">
        <v>68</v>
      </c>
      <c r="T680" s="12"/>
      <c r="U680" s="11" t="s">
        <v>592</v>
      </c>
      <c r="V680" s="11" t="s">
        <v>594</v>
      </c>
      <c r="W680" s="11"/>
      <c r="X680" s="9"/>
      <c r="Y680" s="9"/>
      <c r="Z680" s="8" t="s">
        <v>2192</v>
      </c>
      <c r="AA680" s="9"/>
      <c r="AB680" s="9" t="s">
        <v>2347</v>
      </c>
      <c r="AC680" s="46" t="s">
        <v>2351</v>
      </c>
    </row>
    <row r="681" spans="1:29" ht="33.75" customHeight="1">
      <c r="A681" s="9"/>
      <c r="B681" s="8" t="s">
        <v>109</v>
      </c>
      <c r="C681" s="9">
        <v>351000</v>
      </c>
      <c r="D681" s="9">
        <v>542500</v>
      </c>
      <c r="E681" s="9" t="s">
        <v>2189</v>
      </c>
      <c r="F681" s="9"/>
      <c r="G681" s="9"/>
      <c r="H681" s="9" t="s">
        <v>2199</v>
      </c>
      <c r="I681" s="8" t="s">
        <v>2200</v>
      </c>
      <c r="J681" s="9">
        <v>120</v>
      </c>
      <c r="K681" s="11"/>
      <c r="L681" s="11" t="s">
        <v>2</v>
      </c>
      <c r="M681" s="8" t="s">
        <v>592</v>
      </c>
      <c r="N681" s="8" t="s">
        <v>592</v>
      </c>
      <c r="O681" s="11" t="s">
        <v>592</v>
      </c>
      <c r="P681" s="22">
        <v>0</v>
      </c>
      <c r="Q681" s="12"/>
      <c r="R681" s="11" t="s">
        <v>237</v>
      </c>
      <c r="S681" s="8">
        <v>59</v>
      </c>
      <c r="T681" s="12"/>
      <c r="U681" s="11" t="s">
        <v>592</v>
      </c>
      <c r="V681" s="11" t="s">
        <v>594</v>
      </c>
      <c r="W681" s="11"/>
      <c r="X681" s="9"/>
      <c r="Y681" s="9"/>
      <c r="Z681" s="8" t="s">
        <v>2192</v>
      </c>
      <c r="AA681" s="9"/>
      <c r="AB681" s="9" t="s">
        <v>2347</v>
      </c>
      <c r="AC681" s="46" t="s">
        <v>2351</v>
      </c>
    </row>
    <row r="682" spans="1:29" ht="33.75" customHeight="1">
      <c r="A682" s="9"/>
      <c r="B682" s="8" t="s">
        <v>109</v>
      </c>
      <c r="C682" s="9">
        <v>351200</v>
      </c>
      <c r="D682" s="9">
        <v>541600</v>
      </c>
      <c r="E682" s="9" t="s">
        <v>2189</v>
      </c>
      <c r="F682" s="9"/>
      <c r="G682" s="9"/>
      <c r="H682" s="9" t="s">
        <v>2201</v>
      </c>
      <c r="I682" s="8" t="s">
        <v>2202</v>
      </c>
      <c r="J682" s="9">
        <v>120</v>
      </c>
      <c r="K682" s="11"/>
      <c r="L682" s="11" t="s">
        <v>2</v>
      </c>
      <c r="M682" s="8" t="s">
        <v>592</v>
      </c>
      <c r="N682" s="8" t="s">
        <v>592</v>
      </c>
      <c r="O682" s="11" t="s">
        <v>592</v>
      </c>
      <c r="P682" s="22">
        <v>0</v>
      </c>
      <c r="Q682" s="12"/>
      <c r="R682" s="11" t="s">
        <v>237</v>
      </c>
      <c r="S682" s="8">
        <v>23</v>
      </c>
      <c r="T682" s="12"/>
      <c r="U682" s="11" t="s">
        <v>592</v>
      </c>
      <c r="V682" s="11" t="s">
        <v>593</v>
      </c>
      <c r="W682" s="11"/>
      <c r="X682" s="9"/>
      <c r="Y682" s="9"/>
      <c r="Z682" s="8" t="s">
        <v>2192</v>
      </c>
      <c r="AA682" s="9"/>
      <c r="AB682" s="9" t="s">
        <v>2347</v>
      </c>
      <c r="AC682" s="46" t="s">
        <v>2351</v>
      </c>
    </row>
    <row r="683" spans="1:29" ht="33.75" customHeight="1">
      <c r="A683" s="9"/>
      <c r="B683" s="8" t="s">
        <v>109</v>
      </c>
      <c r="C683" s="9">
        <v>351100</v>
      </c>
      <c r="D683" s="9">
        <v>551100</v>
      </c>
      <c r="E683" s="9" t="s">
        <v>2189</v>
      </c>
      <c r="F683" s="9"/>
      <c r="G683" s="9"/>
      <c r="H683" s="9" t="s">
        <v>2203</v>
      </c>
      <c r="I683" s="8" t="s">
        <v>2084</v>
      </c>
      <c r="J683" s="9">
        <v>125</v>
      </c>
      <c r="K683" s="11"/>
      <c r="L683" s="11" t="s">
        <v>2</v>
      </c>
      <c r="M683" s="8" t="s">
        <v>592</v>
      </c>
      <c r="N683" s="8" t="s">
        <v>592</v>
      </c>
      <c r="O683" s="11" t="s">
        <v>592</v>
      </c>
      <c r="P683" s="22">
        <v>0</v>
      </c>
      <c r="Q683" s="12"/>
      <c r="R683" s="11" t="s">
        <v>237</v>
      </c>
      <c r="S683" s="8">
        <v>29</v>
      </c>
      <c r="T683" s="12"/>
      <c r="U683" s="11" t="s">
        <v>592</v>
      </c>
      <c r="V683" s="11" t="s">
        <v>593</v>
      </c>
      <c r="W683" s="11"/>
      <c r="X683" s="9"/>
      <c r="Y683" s="9"/>
      <c r="Z683" s="8" t="s">
        <v>2192</v>
      </c>
      <c r="AA683" s="9"/>
      <c r="AB683" s="9" t="s">
        <v>2347</v>
      </c>
      <c r="AC683" s="46" t="s">
        <v>2351</v>
      </c>
    </row>
    <row r="684" spans="1:29" ht="33.75" customHeight="1">
      <c r="A684" s="9"/>
      <c r="B684" s="8" t="s">
        <v>109</v>
      </c>
      <c r="C684" s="9">
        <v>351200</v>
      </c>
      <c r="D684" s="9">
        <v>551100</v>
      </c>
      <c r="E684" s="9" t="s">
        <v>2189</v>
      </c>
      <c r="F684" s="9"/>
      <c r="G684" s="9"/>
      <c r="H684" s="9" t="s">
        <v>2204</v>
      </c>
      <c r="I684" s="8" t="s">
        <v>2205</v>
      </c>
      <c r="J684" s="9">
        <v>125</v>
      </c>
      <c r="K684" s="11"/>
      <c r="L684" s="11" t="s">
        <v>2</v>
      </c>
      <c r="M684" s="8" t="s">
        <v>592</v>
      </c>
      <c r="N684" s="8" t="s">
        <v>592</v>
      </c>
      <c r="O684" s="11" t="s">
        <v>592</v>
      </c>
      <c r="P684" s="22">
        <v>0</v>
      </c>
      <c r="Q684" s="12"/>
      <c r="R684" s="11" t="s">
        <v>237</v>
      </c>
      <c r="S684" s="8">
        <v>27</v>
      </c>
      <c r="T684" s="12"/>
      <c r="U684" s="11" t="s">
        <v>592</v>
      </c>
      <c r="V684" s="11" t="s">
        <v>593</v>
      </c>
      <c r="W684" s="11"/>
      <c r="X684" s="9"/>
      <c r="Y684" s="9"/>
      <c r="Z684" s="8" t="s">
        <v>2192</v>
      </c>
      <c r="AA684" s="9"/>
      <c r="AB684" s="9" t="s">
        <v>2347</v>
      </c>
      <c r="AC684" s="46" t="s">
        <v>2351</v>
      </c>
    </row>
    <row r="685" spans="1:29" ht="33.75" customHeight="1">
      <c r="A685" s="9"/>
      <c r="B685" s="8" t="s">
        <v>109</v>
      </c>
      <c r="C685" s="9">
        <v>296200</v>
      </c>
      <c r="D685" s="9">
        <v>511600</v>
      </c>
      <c r="E685" s="9" t="s">
        <v>2189</v>
      </c>
      <c r="F685" s="9"/>
      <c r="G685" s="9"/>
      <c r="H685" s="9" t="s">
        <v>2206</v>
      </c>
      <c r="I685" s="8" t="s">
        <v>485</v>
      </c>
      <c r="J685" s="9">
        <v>20</v>
      </c>
      <c r="K685" s="11"/>
      <c r="L685" s="11" t="s">
        <v>2</v>
      </c>
      <c r="M685" s="8" t="s">
        <v>592</v>
      </c>
      <c r="N685" s="8" t="s">
        <v>592</v>
      </c>
      <c r="O685" s="11" t="s">
        <v>592</v>
      </c>
      <c r="P685" s="22">
        <v>0</v>
      </c>
      <c r="Q685" s="12"/>
      <c r="R685" s="11" t="s">
        <v>237</v>
      </c>
      <c r="S685" s="8">
        <v>16</v>
      </c>
      <c r="T685" s="12"/>
      <c r="U685" s="11" t="s">
        <v>592</v>
      </c>
      <c r="V685" s="11" t="s">
        <v>593</v>
      </c>
      <c r="W685" s="11"/>
      <c r="X685" s="9"/>
      <c r="Y685" s="9"/>
      <c r="Z685" s="8" t="s">
        <v>2192</v>
      </c>
      <c r="AA685" s="9"/>
      <c r="AB685" s="9" t="s">
        <v>2347</v>
      </c>
      <c r="AC685" s="46" t="s">
        <v>2351</v>
      </c>
    </row>
    <row r="686" spans="1:29" ht="33.75" customHeight="1">
      <c r="A686" s="9"/>
      <c r="B686" s="8" t="s">
        <v>109</v>
      </c>
      <c r="C686" s="9">
        <v>300300</v>
      </c>
      <c r="D686" s="9">
        <v>507100</v>
      </c>
      <c r="E686" s="9" t="s">
        <v>2189</v>
      </c>
      <c r="F686" s="9"/>
      <c r="G686" s="9"/>
      <c r="H686" s="9" t="s">
        <v>2207</v>
      </c>
      <c r="I686" s="8" t="s">
        <v>2208</v>
      </c>
      <c r="J686" s="9">
        <v>30</v>
      </c>
      <c r="K686" s="11"/>
      <c r="L686" s="11" t="s">
        <v>2</v>
      </c>
      <c r="M686" s="8" t="s">
        <v>592</v>
      </c>
      <c r="N686" s="8" t="s">
        <v>592</v>
      </c>
      <c r="O686" s="11" t="s">
        <v>592</v>
      </c>
      <c r="P686" s="22">
        <v>0</v>
      </c>
      <c r="Q686" s="12"/>
      <c r="R686" s="11" t="s">
        <v>237</v>
      </c>
      <c r="S686" s="8">
        <v>88</v>
      </c>
      <c r="T686" s="12"/>
      <c r="U686" s="11" t="s">
        <v>592</v>
      </c>
      <c r="V686" s="11" t="s">
        <v>594</v>
      </c>
      <c r="W686" s="11"/>
      <c r="X686" s="9"/>
      <c r="Y686" s="9"/>
      <c r="Z686" s="8" t="s">
        <v>2192</v>
      </c>
      <c r="AA686" s="9"/>
      <c r="AB686" s="9" t="s">
        <v>2347</v>
      </c>
      <c r="AC686" s="46" t="s">
        <v>2351</v>
      </c>
    </row>
    <row r="687" spans="1:29" ht="33.75" customHeight="1">
      <c r="A687" s="9"/>
      <c r="B687" s="8" t="s">
        <v>109</v>
      </c>
      <c r="C687" s="9">
        <v>300400</v>
      </c>
      <c r="D687" s="9">
        <v>507100</v>
      </c>
      <c r="E687" s="9" t="s">
        <v>2189</v>
      </c>
      <c r="F687" s="9"/>
      <c r="G687" s="9"/>
      <c r="H687" s="9" t="s">
        <v>2209</v>
      </c>
      <c r="I687" s="8" t="s">
        <v>2210</v>
      </c>
      <c r="J687" s="9">
        <v>30</v>
      </c>
      <c r="K687" s="11"/>
      <c r="L687" s="11" t="s">
        <v>2</v>
      </c>
      <c r="M687" s="8" t="s">
        <v>592</v>
      </c>
      <c r="N687" s="8" t="s">
        <v>592</v>
      </c>
      <c r="O687" s="11" t="s">
        <v>592</v>
      </c>
      <c r="P687" s="22">
        <v>0</v>
      </c>
      <c r="Q687" s="12"/>
      <c r="R687" s="11" t="s">
        <v>237</v>
      </c>
      <c r="S687" s="8">
        <v>46</v>
      </c>
      <c r="T687" s="12"/>
      <c r="U687" s="11" t="s">
        <v>592</v>
      </c>
      <c r="V687" s="11" t="s">
        <v>594</v>
      </c>
      <c r="W687" s="11"/>
      <c r="X687" s="9"/>
      <c r="Y687" s="9"/>
      <c r="Z687" s="8" t="s">
        <v>2192</v>
      </c>
      <c r="AA687" s="9"/>
      <c r="AB687" s="9" t="s">
        <v>2347</v>
      </c>
      <c r="AC687" s="46" t="s">
        <v>2351</v>
      </c>
    </row>
    <row r="688" spans="1:29" ht="33.75" customHeight="1">
      <c r="A688" s="9"/>
      <c r="B688" s="8" t="s">
        <v>109</v>
      </c>
      <c r="C688" s="9">
        <v>322600</v>
      </c>
      <c r="D688" s="9">
        <v>559900</v>
      </c>
      <c r="E688" s="9" t="s">
        <v>2189</v>
      </c>
      <c r="F688" s="9"/>
      <c r="G688" s="9"/>
      <c r="H688" s="9" t="s">
        <v>2211</v>
      </c>
      <c r="I688" s="8" t="s">
        <v>486</v>
      </c>
      <c r="J688" s="9">
        <v>5</v>
      </c>
      <c r="K688" s="11"/>
      <c r="L688" s="11" t="s">
        <v>2</v>
      </c>
      <c r="M688" s="8" t="s">
        <v>592</v>
      </c>
      <c r="N688" s="8" t="s">
        <v>592</v>
      </c>
      <c r="O688" s="11" t="s">
        <v>592</v>
      </c>
      <c r="P688" s="22">
        <v>0</v>
      </c>
      <c r="Q688" s="12"/>
      <c r="R688" s="11" t="s">
        <v>237</v>
      </c>
      <c r="S688" s="8">
        <v>48</v>
      </c>
      <c r="T688" s="12"/>
      <c r="U688" s="11" t="s">
        <v>592</v>
      </c>
      <c r="V688" s="11" t="s">
        <v>594</v>
      </c>
      <c r="W688" s="11"/>
      <c r="X688" s="9"/>
      <c r="Y688" s="9"/>
      <c r="Z688" s="8" t="s">
        <v>2192</v>
      </c>
      <c r="AA688" s="9"/>
      <c r="AB688" s="9" t="s">
        <v>2347</v>
      </c>
      <c r="AC688" s="46" t="s">
        <v>2351</v>
      </c>
    </row>
    <row r="689" spans="1:29" ht="33.75" customHeight="1">
      <c r="A689" s="9"/>
      <c r="B689" s="8" t="s">
        <v>109</v>
      </c>
      <c r="C689" s="9">
        <v>324100</v>
      </c>
      <c r="D689" s="9">
        <v>560500</v>
      </c>
      <c r="E689" s="9" t="s">
        <v>2189</v>
      </c>
      <c r="F689" s="9"/>
      <c r="G689" s="9"/>
      <c r="H689" s="9" t="s">
        <v>2212</v>
      </c>
      <c r="I689" s="8" t="s">
        <v>2213</v>
      </c>
      <c r="J689" s="9">
        <v>10</v>
      </c>
      <c r="K689" s="11"/>
      <c r="L689" s="11" t="s">
        <v>2</v>
      </c>
      <c r="M689" s="8" t="s">
        <v>592</v>
      </c>
      <c r="N689" s="8" t="s">
        <v>592</v>
      </c>
      <c r="O689" s="11" t="s">
        <v>592</v>
      </c>
      <c r="P689" s="22">
        <v>0</v>
      </c>
      <c r="Q689" s="12"/>
      <c r="R689" s="11" t="s">
        <v>237</v>
      </c>
      <c r="S689" s="8">
        <v>6</v>
      </c>
      <c r="T689" s="12"/>
      <c r="U689" s="11" t="s">
        <v>592</v>
      </c>
      <c r="V689" s="11" t="s">
        <v>593</v>
      </c>
      <c r="W689" s="11"/>
      <c r="X689" s="9"/>
      <c r="Y689" s="9"/>
      <c r="Z689" s="8" t="s">
        <v>2192</v>
      </c>
      <c r="AA689" s="9"/>
      <c r="AB689" s="9" t="s">
        <v>2347</v>
      </c>
      <c r="AC689" s="46" t="s">
        <v>2351</v>
      </c>
    </row>
    <row r="690" spans="1:29" ht="33.75" customHeight="1">
      <c r="A690" s="9"/>
      <c r="B690" s="8" t="s">
        <v>109</v>
      </c>
      <c r="C690" s="9">
        <v>324200</v>
      </c>
      <c r="D690" s="9">
        <v>560500</v>
      </c>
      <c r="E690" s="9" t="s">
        <v>2189</v>
      </c>
      <c r="F690" s="9"/>
      <c r="G690" s="9"/>
      <c r="H690" s="9" t="s">
        <v>2214</v>
      </c>
      <c r="I690" s="8" t="s">
        <v>2215</v>
      </c>
      <c r="J690" s="9">
        <v>10</v>
      </c>
      <c r="K690" s="11"/>
      <c r="L690" s="11" t="s">
        <v>2</v>
      </c>
      <c r="M690" s="8" t="s">
        <v>592</v>
      </c>
      <c r="N690" s="8" t="s">
        <v>592</v>
      </c>
      <c r="O690" s="11" t="s">
        <v>592</v>
      </c>
      <c r="P690" s="22">
        <v>0</v>
      </c>
      <c r="Q690" s="12"/>
      <c r="R690" s="11" t="s">
        <v>237</v>
      </c>
      <c r="S690" s="8">
        <v>5</v>
      </c>
      <c r="T690" s="12"/>
      <c r="U690" s="11" t="s">
        <v>592</v>
      </c>
      <c r="V690" s="11" t="s">
        <v>593</v>
      </c>
      <c r="W690" s="11"/>
      <c r="X690" s="9"/>
      <c r="Y690" s="9"/>
      <c r="Z690" s="8" t="s">
        <v>2192</v>
      </c>
      <c r="AA690" s="9"/>
      <c r="AB690" s="9" t="s">
        <v>2347</v>
      </c>
      <c r="AC690" s="46" t="s">
        <v>2351</v>
      </c>
    </row>
    <row r="691" spans="1:29" ht="33.75" customHeight="1">
      <c r="A691" s="9"/>
      <c r="B691" s="8" t="s">
        <v>109</v>
      </c>
      <c r="C691" s="9">
        <v>325600</v>
      </c>
      <c r="D691" s="9">
        <v>549500</v>
      </c>
      <c r="E691" s="9" t="s">
        <v>2189</v>
      </c>
      <c r="F691" s="9"/>
      <c r="G691" s="9"/>
      <c r="H691" s="9" t="s">
        <v>2216</v>
      </c>
      <c r="I691" s="8" t="s">
        <v>2217</v>
      </c>
      <c r="J691" s="9">
        <v>20</v>
      </c>
      <c r="K691" s="11"/>
      <c r="L691" s="11" t="s">
        <v>2</v>
      </c>
      <c r="M691" s="8" t="s">
        <v>592</v>
      </c>
      <c r="N691" s="8" t="s">
        <v>592</v>
      </c>
      <c r="O691" s="11" t="s">
        <v>592</v>
      </c>
      <c r="P691" s="22">
        <v>0</v>
      </c>
      <c r="Q691" s="12"/>
      <c r="R691" s="11" t="s">
        <v>237</v>
      </c>
      <c r="S691" s="8">
        <v>4</v>
      </c>
      <c r="T691" s="12"/>
      <c r="U691" s="11" t="s">
        <v>592</v>
      </c>
      <c r="V691" s="11" t="s">
        <v>593</v>
      </c>
      <c r="W691" s="11"/>
      <c r="X691" s="9"/>
      <c r="Y691" s="9"/>
      <c r="Z691" s="8" t="s">
        <v>2192</v>
      </c>
      <c r="AA691" s="9"/>
      <c r="AB691" s="9" t="s">
        <v>2347</v>
      </c>
      <c r="AC691" s="46" t="s">
        <v>2351</v>
      </c>
    </row>
    <row r="692" spans="1:29" ht="33.75" customHeight="1">
      <c r="A692" s="9"/>
      <c r="B692" s="8" t="s">
        <v>109</v>
      </c>
      <c r="C692" s="9">
        <v>343900</v>
      </c>
      <c r="D692" s="9">
        <v>550900</v>
      </c>
      <c r="E692" s="9" t="s">
        <v>2189</v>
      </c>
      <c r="F692" s="9"/>
      <c r="G692" s="9"/>
      <c r="H692" s="9" t="s">
        <v>2218</v>
      </c>
      <c r="I692" s="8" t="s">
        <v>2219</v>
      </c>
      <c r="J692" s="9">
        <v>65</v>
      </c>
      <c r="K692" s="11"/>
      <c r="L692" s="11" t="s">
        <v>2</v>
      </c>
      <c r="M692" s="8" t="s">
        <v>592</v>
      </c>
      <c r="N692" s="8" t="s">
        <v>592</v>
      </c>
      <c r="O692" s="11" t="s">
        <v>592</v>
      </c>
      <c r="P692" s="22">
        <v>0</v>
      </c>
      <c r="Q692" s="12"/>
      <c r="R692" s="11" t="s">
        <v>237</v>
      </c>
      <c r="S692" s="8">
        <v>2</v>
      </c>
      <c r="T692" s="12"/>
      <c r="U692" s="11" t="s">
        <v>592</v>
      </c>
      <c r="V692" s="11" t="s">
        <v>593</v>
      </c>
      <c r="W692" s="11"/>
      <c r="X692" s="9"/>
      <c r="Y692" s="9"/>
      <c r="Z692" s="8" t="s">
        <v>2192</v>
      </c>
      <c r="AA692" s="9"/>
      <c r="AB692" s="9" t="s">
        <v>2347</v>
      </c>
      <c r="AC692" s="46" t="s">
        <v>2351</v>
      </c>
    </row>
    <row r="693" spans="1:29" ht="33.75" customHeight="1">
      <c r="A693" s="9"/>
      <c r="B693" s="8" t="s">
        <v>109</v>
      </c>
      <c r="C693" s="9">
        <v>345900</v>
      </c>
      <c r="D693" s="9">
        <v>483900</v>
      </c>
      <c r="E693" s="9" t="s">
        <v>2220</v>
      </c>
      <c r="F693" s="9"/>
      <c r="G693" s="9"/>
      <c r="H693" s="9" t="s">
        <v>2174</v>
      </c>
      <c r="I693" s="8" t="s">
        <v>2221</v>
      </c>
      <c r="J693" s="9">
        <v>5</v>
      </c>
      <c r="K693" s="11"/>
      <c r="L693" s="11" t="s">
        <v>2</v>
      </c>
      <c r="M693" s="8">
        <v>3690</v>
      </c>
      <c r="N693" s="8">
        <v>1445</v>
      </c>
      <c r="O693" s="11">
        <f t="shared" ref="O693:O701" si="17">M693-N693</f>
        <v>2245</v>
      </c>
      <c r="P693" s="22">
        <v>10</v>
      </c>
      <c r="Q693" s="12">
        <f t="shared" ref="Q693:Q701" si="18">P693/O693*1000</f>
        <v>4.4543429844097995</v>
      </c>
      <c r="R693" s="11" t="s">
        <v>237</v>
      </c>
      <c r="S693" s="8">
        <v>50</v>
      </c>
      <c r="T693" s="12">
        <f t="shared" ref="T693:T701" si="19">S693/O693*1000</f>
        <v>22.271714922048996</v>
      </c>
      <c r="U693" s="11" t="s">
        <v>592</v>
      </c>
      <c r="V693" s="11" t="s">
        <v>593</v>
      </c>
      <c r="W693" s="11"/>
      <c r="X693" s="9"/>
      <c r="Y693" s="9"/>
      <c r="Z693" s="8" t="s">
        <v>488</v>
      </c>
      <c r="AA693" s="9"/>
      <c r="AB693" s="9" t="s">
        <v>2347</v>
      </c>
      <c r="AC693" s="46" t="s">
        <v>2351</v>
      </c>
    </row>
    <row r="694" spans="1:29" ht="33.75" customHeight="1">
      <c r="A694" s="9"/>
      <c r="B694" s="8" t="s">
        <v>109</v>
      </c>
      <c r="C694" s="9">
        <v>345900</v>
      </c>
      <c r="D694" s="9">
        <v>483800</v>
      </c>
      <c r="E694" s="9" t="s">
        <v>2220</v>
      </c>
      <c r="F694" s="9"/>
      <c r="G694" s="9"/>
      <c r="H694" s="9" t="s">
        <v>2222</v>
      </c>
      <c r="I694" s="8" t="s">
        <v>2223</v>
      </c>
      <c r="J694" s="9">
        <v>5</v>
      </c>
      <c r="K694" s="11"/>
      <c r="L694" s="11" t="s">
        <v>2</v>
      </c>
      <c r="M694" s="8">
        <v>3870</v>
      </c>
      <c r="N694" s="8">
        <v>1820</v>
      </c>
      <c r="O694" s="11">
        <f t="shared" si="17"/>
        <v>2050</v>
      </c>
      <c r="P694" s="22">
        <v>9</v>
      </c>
      <c r="Q694" s="12">
        <f t="shared" si="18"/>
        <v>4.3902439024390247</v>
      </c>
      <c r="R694" s="11" t="s">
        <v>237</v>
      </c>
      <c r="S694" s="8">
        <v>40</v>
      </c>
      <c r="T694" s="12">
        <f t="shared" si="19"/>
        <v>19.512195121951219</v>
      </c>
      <c r="U694" s="11" t="s">
        <v>592</v>
      </c>
      <c r="V694" s="11" t="s">
        <v>593</v>
      </c>
      <c r="W694" s="11"/>
      <c r="X694" s="9"/>
      <c r="Y694" s="9"/>
      <c r="Z694" s="8" t="s">
        <v>488</v>
      </c>
      <c r="AA694" s="9"/>
      <c r="AB694" s="9" t="s">
        <v>2347</v>
      </c>
      <c r="AC694" s="46" t="s">
        <v>2351</v>
      </c>
    </row>
    <row r="695" spans="1:29" ht="33.75" customHeight="1">
      <c r="A695" s="9"/>
      <c r="B695" s="8" t="s">
        <v>109</v>
      </c>
      <c r="C695" s="9">
        <v>346600</v>
      </c>
      <c r="D695" s="9">
        <v>488900</v>
      </c>
      <c r="E695" s="9" t="s">
        <v>2220</v>
      </c>
      <c r="F695" s="9"/>
      <c r="G695" s="9"/>
      <c r="H695" s="9" t="s">
        <v>2224</v>
      </c>
      <c r="I695" s="8" t="s">
        <v>2225</v>
      </c>
      <c r="J695" s="9">
        <v>10</v>
      </c>
      <c r="K695" s="11"/>
      <c r="L695" s="11" t="s">
        <v>2</v>
      </c>
      <c r="M695" s="8">
        <v>3665</v>
      </c>
      <c r="N695" s="8">
        <v>2770</v>
      </c>
      <c r="O695" s="11">
        <f t="shared" si="17"/>
        <v>895</v>
      </c>
      <c r="P695" s="22">
        <v>5</v>
      </c>
      <c r="Q695" s="12">
        <f t="shared" si="18"/>
        <v>5.5865921787709496</v>
      </c>
      <c r="R695" s="11" t="s">
        <v>237</v>
      </c>
      <c r="S695" s="8">
        <v>12</v>
      </c>
      <c r="T695" s="12">
        <f t="shared" si="19"/>
        <v>13.407821229050279</v>
      </c>
      <c r="U695" s="11" t="s">
        <v>592</v>
      </c>
      <c r="V695" s="11" t="s">
        <v>593</v>
      </c>
      <c r="W695" s="11"/>
      <c r="X695" s="9"/>
      <c r="Y695" s="9"/>
      <c r="Z695" s="8" t="s">
        <v>488</v>
      </c>
      <c r="AA695" s="9"/>
      <c r="AB695" s="9" t="s">
        <v>2347</v>
      </c>
      <c r="AC695" s="46" t="s">
        <v>2351</v>
      </c>
    </row>
    <row r="696" spans="1:29" ht="33.75" customHeight="1">
      <c r="A696" s="9"/>
      <c r="B696" s="8" t="s">
        <v>109</v>
      </c>
      <c r="C696" s="9">
        <v>346700</v>
      </c>
      <c r="D696" s="9">
        <v>488900</v>
      </c>
      <c r="E696" s="9" t="s">
        <v>2220</v>
      </c>
      <c r="F696" s="9"/>
      <c r="G696" s="9"/>
      <c r="H696" s="9" t="s">
        <v>2176</v>
      </c>
      <c r="I696" s="8" t="s">
        <v>2226</v>
      </c>
      <c r="J696" s="9">
        <v>10</v>
      </c>
      <c r="K696" s="11"/>
      <c r="L696" s="11" t="s">
        <v>2</v>
      </c>
      <c r="M696" s="8">
        <v>3660</v>
      </c>
      <c r="N696" s="8">
        <v>2805</v>
      </c>
      <c r="O696" s="11">
        <f t="shared" si="17"/>
        <v>855</v>
      </c>
      <c r="P696" s="22">
        <v>5</v>
      </c>
      <c r="Q696" s="12">
        <f t="shared" si="18"/>
        <v>5.8479532163742682</v>
      </c>
      <c r="R696" s="11" t="s">
        <v>237</v>
      </c>
      <c r="S696" s="8">
        <v>9</v>
      </c>
      <c r="T696" s="12">
        <f t="shared" si="19"/>
        <v>10.526315789473683</v>
      </c>
      <c r="U696" s="11" t="s">
        <v>592</v>
      </c>
      <c r="V696" s="11" t="s">
        <v>593</v>
      </c>
      <c r="W696" s="11"/>
      <c r="X696" s="9"/>
      <c r="Y696" s="9"/>
      <c r="Z696" s="8" t="s">
        <v>488</v>
      </c>
      <c r="AA696" s="9"/>
      <c r="AB696" s="9" t="s">
        <v>2347</v>
      </c>
      <c r="AC696" s="46" t="s">
        <v>2351</v>
      </c>
    </row>
    <row r="697" spans="1:29" ht="33.75" customHeight="1">
      <c r="A697" s="9"/>
      <c r="B697" s="8" t="s">
        <v>109</v>
      </c>
      <c r="C697" s="9">
        <v>346800</v>
      </c>
      <c r="D697" s="9">
        <v>488900</v>
      </c>
      <c r="E697" s="9" t="s">
        <v>2220</v>
      </c>
      <c r="F697" s="9"/>
      <c r="G697" s="9"/>
      <c r="H697" s="9" t="s">
        <v>2227</v>
      </c>
      <c r="I697" s="8" t="s">
        <v>2228</v>
      </c>
      <c r="J697" s="9">
        <v>10</v>
      </c>
      <c r="K697" s="11"/>
      <c r="L697" s="11" t="s">
        <v>2</v>
      </c>
      <c r="M697" s="8">
        <v>3545</v>
      </c>
      <c r="N697" s="8">
        <v>2750</v>
      </c>
      <c r="O697" s="11">
        <f t="shared" si="17"/>
        <v>795</v>
      </c>
      <c r="P697" s="22">
        <v>3</v>
      </c>
      <c r="Q697" s="12">
        <f t="shared" si="18"/>
        <v>3.7735849056603774</v>
      </c>
      <c r="R697" s="11" t="s">
        <v>237</v>
      </c>
      <c r="S697" s="8">
        <v>13</v>
      </c>
      <c r="T697" s="12">
        <f t="shared" si="19"/>
        <v>16.352201257861633</v>
      </c>
      <c r="U697" s="11" t="s">
        <v>592</v>
      </c>
      <c r="V697" s="11" t="s">
        <v>593</v>
      </c>
      <c r="W697" s="11"/>
      <c r="X697" s="9"/>
      <c r="Y697" s="9"/>
      <c r="Z697" s="8" t="s">
        <v>488</v>
      </c>
      <c r="AA697" s="9"/>
      <c r="AB697" s="9" t="s">
        <v>2347</v>
      </c>
      <c r="AC697" s="46" t="s">
        <v>2351</v>
      </c>
    </row>
    <row r="698" spans="1:29" ht="33.75" customHeight="1">
      <c r="A698" s="9"/>
      <c r="B698" s="8" t="s">
        <v>109</v>
      </c>
      <c r="C698" s="9">
        <v>346900</v>
      </c>
      <c r="D698" s="9">
        <v>488900</v>
      </c>
      <c r="E698" s="9" t="s">
        <v>2220</v>
      </c>
      <c r="F698" s="9"/>
      <c r="G698" s="9"/>
      <c r="H698" s="9" t="s">
        <v>2229</v>
      </c>
      <c r="I698" s="8" t="s">
        <v>2230</v>
      </c>
      <c r="J698" s="9">
        <v>10</v>
      </c>
      <c r="K698" s="11"/>
      <c r="L698" s="11" t="s">
        <v>2</v>
      </c>
      <c r="M698" s="8">
        <v>2595</v>
      </c>
      <c r="N698" s="8">
        <v>1860</v>
      </c>
      <c r="O698" s="11">
        <f t="shared" si="17"/>
        <v>735</v>
      </c>
      <c r="P698" s="22">
        <v>7</v>
      </c>
      <c r="Q698" s="12">
        <f t="shared" si="18"/>
        <v>9.5238095238095255</v>
      </c>
      <c r="R698" s="11" t="s">
        <v>237</v>
      </c>
      <c r="S698" s="8">
        <v>11</v>
      </c>
      <c r="T698" s="12">
        <f t="shared" si="19"/>
        <v>14.965986394557822</v>
      </c>
      <c r="U698" s="11" t="s">
        <v>592</v>
      </c>
      <c r="V698" s="11" t="s">
        <v>593</v>
      </c>
      <c r="W698" s="11"/>
      <c r="X698" s="9"/>
      <c r="Y698" s="9"/>
      <c r="Z698" s="8" t="s">
        <v>488</v>
      </c>
      <c r="AA698" s="9"/>
      <c r="AB698" s="9" t="s">
        <v>2347</v>
      </c>
      <c r="AC698" s="46" t="s">
        <v>2351</v>
      </c>
    </row>
    <row r="699" spans="1:29" ht="33.75" customHeight="1">
      <c r="A699" s="9"/>
      <c r="B699" s="8" t="s">
        <v>109</v>
      </c>
      <c r="C699" s="9">
        <v>322000</v>
      </c>
      <c r="D699" s="9">
        <v>484900</v>
      </c>
      <c r="E699" s="9" t="s">
        <v>2220</v>
      </c>
      <c r="F699" s="9"/>
      <c r="G699" s="9"/>
      <c r="H699" s="9" t="s">
        <v>2231</v>
      </c>
      <c r="I699" s="8" t="s">
        <v>2232</v>
      </c>
      <c r="J699" s="9">
        <v>10</v>
      </c>
      <c r="K699" s="11"/>
      <c r="L699" s="11" t="s">
        <v>2</v>
      </c>
      <c r="M699" s="8">
        <v>2490</v>
      </c>
      <c r="N699" s="8">
        <v>385</v>
      </c>
      <c r="O699" s="11">
        <f t="shared" si="17"/>
        <v>2105</v>
      </c>
      <c r="P699" s="22">
        <v>6</v>
      </c>
      <c r="Q699" s="12">
        <f t="shared" si="18"/>
        <v>2.8503562945368173</v>
      </c>
      <c r="R699" s="11" t="s">
        <v>237</v>
      </c>
      <c r="S699" s="8">
        <v>22</v>
      </c>
      <c r="T699" s="12">
        <f t="shared" si="19"/>
        <v>10.451306413301662</v>
      </c>
      <c r="U699" s="11" t="s">
        <v>592</v>
      </c>
      <c r="V699" s="11" t="s">
        <v>593</v>
      </c>
      <c r="W699" s="11"/>
      <c r="X699" s="9"/>
      <c r="Y699" s="9"/>
      <c r="Z699" s="8" t="s">
        <v>488</v>
      </c>
      <c r="AA699" s="9"/>
      <c r="AB699" s="9" t="s">
        <v>2347</v>
      </c>
      <c r="AC699" s="46" t="s">
        <v>2351</v>
      </c>
    </row>
    <row r="700" spans="1:29" ht="33.75" customHeight="1">
      <c r="A700" s="9"/>
      <c r="B700" s="8" t="s">
        <v>109</v>
      </c>
      <c r="C700" s="9">
        <v>321600</v>
      </c>
      <c r="D700" s="9">
        <v>485400</v>
      </c>
      <c r="E700" s="9" t="s">
        <v>2220</v>
      </c>
      <c r="F700" s="9"/>
      <c r="G700" s="9"/>
      <c r="H700" s="9" t="s">
        <v>2233</v>
      </c>
      <c r="I700" s="8" t="s">
        <v>2234</v>
      </c>
      <c r="J700" s="9">
        <v>10</v>
      </c>
      <c r="K700" s="11"/>
      <c r="L700" s="11" t="s">
        <v>2</v>
      </c>
      <c r="M700" s="8">
        <v>3000</v>
      </c>
      <c r="N700" s="8">
        <v>725</v>
      </c>
      <c r="O700" s="11">
        <f t="shared" si="17"/>
        <v>2275</v>
      </c>
      <c r="P700" s="22">
        <v>6</v>
      </c>
      <c r="Q700" s="12">
        <f t="shared" si="18"/>
        <v>2.6373626373626373</v>
      </c>
      <c r="R700" s="11" t="s">
        <v>237</v>
      </c>
      <c r="S700" s="8">
        <v>13</v>
      </c>
      <c r="T700" s="12">
        <f t="shared" si="19"/>
        <v>5.7142857142857144</v>
      </c>
      <c r="U700" s="11" t="s">
        <v>592</v>
      </c>
      <c r="V700" s="11" t="s">
        <v>593</v>
      </c>
      <c r="W700" s="11"/>
      <c r="X700" s="9"/>
      <c r="Y700" s="9"/>
      <c r="Z700" s="8" t="s">
        <v>488</v>
      </c>
      <c r="AA700" s="9"/>
      <c r="AB700" s="9" t="s">
        <v>2347</v>
      </c>
      <c r="AC700" s="46" t="s">
        <v>2351</v>
      </c>
    </row>
    <row r="701" spans="1:29" ht="33.75" customHeight="1">
      <c r="A701" s="9"/>
      <c r="B701" s="8" t="s">
        <v>109</v>
      </c>
      <c r="C701" s="9">
        <v>321700</v>
      </c>
      <c r="D701" s="9">
        <v>485400</v>
      </c>
      <c r="E701" s="9" t="s">
        <v>2220</v>
      </c>
      <c r="F701" s="9"/>
      <c r="G701" s="9"/>
      <c r="H701" s="9" t="s">
        <v>2235</v>
      </c>
      <c r="I701" s="8" t="s">
        <v>2236</v>
      </c>
      <c r="J701" s="9">
        <v>10</v>
      </c>
      <c r="K701" s="11"/>
      <c r="L701" s="11" t="s">
        <v>2</v>
      </c>
      <c r="M701" s="8">
        <v>3240</v>
      </c>
      <c r="N701" s="8">
        <v>835</v>
      </c>
      <c r="O701" s="11">
        <f t="shared" si="17"/>
        <v>2405</v>
      </c>
      <c r="P701" s="22">
        <v>6</v>
      </c>
      <c r="Q701" s="12">
        <f t="shared" si="18"/>
        <v>2.4948024948024949</v>
      </c>
      <c r="R701" s="11" t="s">
        <v>237</v>
      </c>
      <c r="S701" s="8">
        <v>21</v>
      </c>
      <c r="T701" s="12">
        <f t="shared" si="19"/>
        <v>8.7318087318087318</v>
      </c>
      <c r="U701" s="11" t="s">
        <v>592</v>
      </c>
      <c r="V701" s="11" t="s">
        <v>593</v>
      </c>
      <c r="W701" s="11"/>
      <c r="X701" s="9"/>
      <c r="Y701" s="9"/>
      <c r="Z701" s="8" t="s">
        <v>488</v>
      </c>
      <c r="AA701" s="9"/>
      <c r="AB701" s="9" t="s">
        <v>2347</v>
      </c>
      <c r="AC701" s="46" t="s">
        <v>2351</v>
      </c>
    </row>
    <row r="702" spans="1:29" ht="33.75" customHeight="1">
      <c r="A702" s="9">
        <v>52</v>
      </c>
      <c r="B702" s="8" t="s">
        <v>31</v>
      </c>
      <c r="C702" s="9">
        <v>593300</v>
      </c>
      <c r="D702" s="9">
        <v>293700</v>
      </c>
      <c r="E702" s="9" t="s">
        <v>598</v>
      </c>
      <c r="F702" s="9">
        <v>52.506915347300001</v>
      </c>
      <c r="G702" s="9">
        <v>0.84677946774000001</v>
      </c>
      <c r="H702" s="9" t="s">
        <v>198</v>
      </c>
      <c r="I702" s="8" t="s">
        <v>197</v>
      </c>
      <c r="J702" s="9">
        <v>33</v>
      </c>
      <c r="K702" s="11" t="s">
        <v>43</v>
      </c>
      <c r="L702" s="11" t="s">
        <v>2</v>
      </c>
      <c r="M702" s="8">
        <v>12620</v>
      </c>
      <c r="N702" s="8">
        <v>1625</v>
      </c>
      <c r="O702" s="11">
        <f>M702-N702</f>
        <v>10995</v>
      </c>
      <c r="P702" s="22">
        <v>23</v>
      </c>
      <c r="Q702" s="12">
        <f>P702/O702*1000</f>
        <v>2.0918599363346972</v>
      </c>
      <c r="R702" s="11" t="s">
        <v>599</v>
      </c>
      <c r="S702" s="8">
        <v>125</v>
      </c>
      <c r="T702" s="12">
        <f>S702*1000/O702</f>
        <v>11.368804001819008</v>
      </c>
      <c r="U702" s="11" t="s">
        <v>592</v>
      </c>
      <c r="V702" s="11" t="s">
        <v>594</v>
      </c>
      <c r="W702" s="11" t="s">
        <v>199</v>
      </c>
      <c r="X702" s="9" t="s">
        <v>195</v>
      </c>
      <c r="Y702" s="9" t="s">
        <v>43</v>
      </c>
      <c r="Z702" s="8" t="s">
        <v>600</v>
      </c>
      <c r="AA702" s="9"/>
      <c r="AB702" s="9" t="s">
        <v>2347</v>
      </c>
      <c r="AC702" s="46" t="s">
        <v>2351</v>
      </c>
    </row>
    <row r="703" spans="1:29" ht="33.75" customHeight="1">
      <c r="A703" s="9">
        <v>73</v>
      </c>
      <c r="B703" s="8" t="s">
        <v>31</v>
      </c>
      <c r="C703" s="9">
        <v>590300</v>
      </c>
      <c r="D703" s="9">
        <v>301800</v>
      </c>
      <c r="E703" s="9" t="s">
        <v>604</v>
      </c>
      <c r="F703" s="9">
        <v>52.580700330200003</v>
      </c>
      <c r="G703" s="9">
        <v>0.80727278136900005</v>
      </c>
      <c r="H703" s="9" t="s">
        <v>346</v>
      </c>
      <c r="I703" s="8" t="s">
        <v>347</v>
      </c>
      <c r="J703" s="9">
        <v>38</v>
      </c>
      <c r="K703" s="11" t="s">
        <v>348</v>
      </c>
      <c r="L703" s="11" t="s">
        <v>2</v>
      </c>
      <c r="M703" s="8">
        <v>17400</v>
      </c>
      <c r="N703" s="8">
        <v>4200</v>
      </c>
      <c r="O703" s="11">
        <f>M703-N703</f>
        <v>13200</v>
      </c>
      <c r="P703" s="22">
        <v>10</v>
      </c>
      <c r="Q703" s="12">
        <f>P703/O703*1000</f>
        <v>0.75757575757575757</v>
      </c>
      <c r="R703" s="11" t="s">
        <v>599</v>
      </c>
      <c r="S703" s="8">
        <v>86</v>
      </c>
      <c r="T703" s="12">
        <f>S703*1000/O703</f>
        <v>6.5151515151515156</v>
      </c>
      <c r="U703" s="11" t="s">
        <v>592</v>
      </c>
      <c r="V703" s="11" t="s">
        <v>594</v>
      </c>
      <c r="W703" s="11" t="s">
        <v>349</v>
      </c>
      <c r="X703" s="9" t="s">
        <v>249</v>
      </c>
      <c r="Y703" s="9" t="s">
        <v>43</v>
      </c>
      <c r="Z703" s="8" t="s">
        <v>350</v>
      </c>
      <c r="AA703" s="9"/>
      <c r="AB703" s="9" t="s">
        <v>2347</v>
      </c>
      <c r="AC703" s="46" t="s">
        <v>2351</v>
      </c>
    </row>
    <row r="704" spans="1:29" ht="33.75" customHeight="1">
      <c r="A704" s="9">
        <v>73</v>
      </c>
      <c r="B704" s="8" t="s">
        <v>31</v>
      </c>
      <c r="C704" s="9">
        <v>603700</v>
      </c>
      <c r="D704" s="9">
        <v>301200</v>
      </c>
      <c r="E704" s="9" t="s">
        <v>604</v>
      </c>
      <c r="F704" s="9">
        <v>52.570464049100003</v>
      </c>
      <c r="G704" s="9">
        <v>1.00439365075</v>
      </c>
      <c r="H704" s="9" t="s">
        <v>605</v>
      </c>
      <c r="I704" s="8" t="s">
        <v>537</v>
      </c>
      <c r="J704" s="9">
        <v>38</v>
      </c>
      <c r="K704" s="11"/>
      <c r="L704" s="11" t="s">
        <v>2</v>
      </c>
      <c r="M704" s="8" t="s">
        <v>592</v>
      </c>
      <c r="N704" s="8" t="s">
        <v>592</v>
      </c>
      <c r="O704" s="11" t="s">
        <v>592</v>
      </c>
      <c r="P704" s="22">
        <v>0</v>
      </c>
      <c r="Q704" s="12"/>
      <c r="R704" s="11" t="s">
        <v>599</v>
      </c>
      <c r="S704" s="8">
        <v>113</v>
      </c>
      <c r="T704" s="12"/>
      <c r="U704" s="11" t="s">
        <v>592</v>
      </c>
      <c r="V704" s="11" t="s">
        <v>594</v>
      </c>
      <c r="W704" s="11" t="s">
        <v>349</v>
      </c>
      <c r="X704" s="9" t="s">
        <v>249</v>
      </c>
      <c r="Y704" s="9" t="s">
        <v>43</v>
      </c>
      <c r="Z704" s="8" t="s">
        <v>350</v>
      </c>
      <c r="AA704" s="9"/>
      <c r="AB704" s="9" t="s">
        <v>2347</v>
      </c>
      <c r="AC704" s="46" t="s">
        <v>2351</v>
      </c>
    </row>
    <row r="705" spans="1:29" ht="33.75" customHeight="1">
      <c r="A705" s="9">
        <v>66</v>
      </c>
      <c r="B705" s="8" t="s">
        <v>31</v>
      </c>
      <c r="C705" s="9">
        <v>595000</v>
      </c>
      <c r="D705" s="9">
        <v>296300</v>
      </c>
      <c r="E705" s="9" t="s">
        <v>603</v>
      </c>
      <c r="F705" s="9">
        <v>52.529654878499997</v>
      </c>
      <c r="G705" s="9">
        <v>0.87331793978399996</v>
      </c>
      <c r="H705" s="9" t="s">
        <v>300</v>
      </c>
      <c r="I705" s="8" t="s">
        <v>255</v>
      </c>
      <c r="J705" s="9">
        <v>37</v>
      </c>
      <c r="K705" s="11" t="s">
        <v>256</v>
      </c>
      <c r="L705" s="11" t="s">
        <v>2</v>
      </c>
      <c r="M705" s="8">
        <v>11750</v>
      </c>
      <c r="N705" s="8">
        <v>2590</v>
      </c>
      <c r="O705" s="11">
        <f>M705-N705</f>
        <v>9160</v>
      </c>
      <c r="P705" s="22">
        <v>10</v>
      </c>
      <c r="Q705" s="12">
        <f>P705/O705*1000</f>
        <v>1.0917030567685588</v>
      </c>
      <c r="R705" s="11" t="s">
        <v>599</v>
      </c>
      <c r="S705" s="8">
        <v>87</v>
      </c>
      <c r="T705" s="12">
        <f>S705*1000/O705</f>
        <v>9.497816593886462</v>
      </c>
      <c r="U705" s="11" t="s">
        <v>592</v>
      </c>
      <c r="V705" s="11" t="s">
        <v>594</v>
      </c>
      <c r="W705" s="11" t="s">
        <v>257</v>
      </c>
      <c r="X705" s="9" t="s">
        <v>259</v>
      </c>
      <c r="Y705" s="9" t="s">
        <v>100</v>
      </c>
      <c r="Z705" s="8" t="s">
        <v>258</v>
      </c>
      <c r="AA705" s="9"/>
      <c r="AB705" s="9" t="s">
        <v>2347</v>
      </c>
      <c r="AC705" s="46" t="s">
        <v>2351</v>
      </c>
    </row>
    <row r="706" spans="1:29" ht="33.75" customHeight="1">
      <c r="A706" s="9"/>
      <c r="B706" s="8" t="s">
        <v>31</v>
      </c>
      <c r="C706" s="9">
        <v>604000</v>
      </c>
      <c r="D706" s="9">
        <v>287600</v>
      </c>
      <c r="E706" s="9" t="s">
        <v>2565</v>
      </c>
      <c r="F706" s="9">
        <v>52.448257122599998</v>
      </c>
      <c r="G706" s="9">
        <v>1.00048071601</v>
      </c>
      <c r="H706" s="9" t="s">
        <v>2237</v>
      </c>
      <c r="I706" s="8" t="s">
        <v>2238</v>
      </c>
      <c r="J706" s="9">
        <v>25</v>
      </c>
      <c r="K706" s="11"/>
      <c r="L706" s="11" t="s">
        <v>2</v>
      </c>
      <c r="M706" s="8">
        <v>9200</v>
      </c>
      <c r="N706" s="8">
        <v>1500</v>
      </c>
      <c r="O706" s="11">
        <f>M706-N706</f>
        <v>7700</v>
      </c>
      <c r="P706" s="22">
        <v>6</v>
      </c>
      <c r="Q706" s="12">
        <f>P706/O706*1000</f>
        <v>0.77922077922077926</v>
      </c>
      <c r="R706" s="11" t="s">
        <v>599</v>
      </c>
      <c r="S706" s="8">
        <v>46</v>
      </c>
      <c r="T706" s="12">
        <f>S706*1000/O706</f>
        <v>5.9740259740259738</v>
      </c>
      <c r="U706" s="11">
        <v>500</v>
      </c>
      <c r="V706" s="11" t="s">
        <v>593</v>
      </c>
      <c r="W706" s="11"/>
      <c r="X706" s="9" t="s">
        <v>1338</v>
      </c>
      <c r="Y706" s="9"/>
      <c r="Z706" s="8" t="s">
        <v>455</v>
      </c>
      <c r="AA706" s="9"/>
      <c r="AB706" s="9" t="s">
        <v>2347</v>
      </c>
      <c r="AC706" s="46" t="s">
        <v>2351</v>
      </c>
    </row>
    <row r="707" spans="1:29" ht="33.75" customHeight="1">
      <c r="A707" s="9"/>
      <c r="B707" s="8" t="s">
        <v>31</v>
      </c>
      <c r="C707" s="9">
        <v>572600</v>
      </c>
      <c r="D707" s="9">
        <v>301700</v>
      </c>
      <c r="E707" s="9" t="s">
        <v>2511</v>
      </c>
      <c r="F707" s="9">
        <v>52.585703801599998</v>
      </c>
      <c r="G707" s="9">
        <v>0.546275033583</v>
      </c>
      <c r="H707" s="9" t="s">
        <v>2239</v>
      </c>
      <c r="I707" s="8" t="s">
        <v>2240</v>
      </c>
      <c r="J707" s="9">
        <v>6</v>
      </c>
      <c r="K707" s="11"/>
      <c r="L707" s="11" t="s">
        <v>2</v>
      </c>
      <c r="M707" s="8" t="s">
        <v>592</v>
      </c>
      <c r="N707" s="8" t="s">
        <v>592</v>
      </c>
      <c r="O707" s="11" t="s">
        <v>592</v>
      </c>
      <c r="P707" s="22">
        <v>0</v>
      </c>
      <c r="Q707" s="12"/>
      <c r="R707" s="11" t="s">
        <v>599</v>
      </c>
      <c r="S707" s="8">
        <v>31</v>
      </c>
      <c r="T707" s="12"/>
      <c r="U707" s="11">
        <v>400</v>
      </c>
      <c r="V707" s="11" t="s">
        <v>594</v>
      </c>
      <c r="W707" s="11"/>
      <c r="X707" s="9" t="s">
        <v>1338</v>
      </c>
      <c r="Y707" s="9"/>
      <c r="Z707" s="8" t="s">
        <v>2241</v>
      </c>
      <c r="AA707" s="9"/>
      <c r="AB707" s="9" t="s">
        <v>2347</v>
      </c>
      <c r="AC707" s="46" t="s">
        <v>2351</v>
      </c>
    </row>
    <row r="708" spans="1:29" ht="33.75" customHeight="1">
      <c r="A708" s="9"/>
      <c r="B708" s="8" t="s">
        <v>533</v>
      </c>
      <c r="C708" s="9">
        <v>562900</v>
      </c>
      <c r="D708" s="9">
        <v>284700</v>
      </c>
      <c r="E708" s="9" t="s">
        <v>2566</v>
      </c>
      <c r="F708" s="9">
        <v>52.435999758500003</v>
      </c>
      <c r="G708" s="9">
        <v>0.394917509188</v>
      </c>
      <c r="H708" s="9" t="s">
        <v>2242</v>
      </c>
      <c r="I708" s="8" t="s">
        <v>2243</v>
      </c>
      <c r="J708" s="9">
        <v>0</v>
      </c>
      <c r="K708" s="11"/>
      <c r="L708" s="11" t="s">
        <v>2</v>
      </c>
      <c r="M708" s="8">
        <v>8660</v>
      </c>
      <c r="N708" s="8">
        <v>4840</v>
      </c>
      <c r="O708" s="11">
        <f>M708-N708</f>
        <v>3820</v>
      </c>
      <c r="P708" s="22">
        <v>10</v>
      </c>
      <c r="Q708" s="12">
        <f>P708/O708*1000</f>
        <v>2.6178010471204192</v>
      </c>
      <c r="R708" s="11" t="s">
        <v>237</v>
      </c>
      <c r="S708" s="8">
        <v>26</v>
      </c>
      <c r="T708" s="12">
        <f>S708*1000/O708</f>
        <v>6.8062827225130889</v>
      </c>
      <c r="U708" s="11" t="s">
        <v>592</v>
      </c>
      <c r="V708" s="11" t="s">
        <v>593</v>
      </c>
      <c r="W708" s="11"/>
      <c r="X708" s="9" t="s">
        <v>1338</v>
      </c>
      <c r="Y708" s="9"/>
      <c r="Z708" s="8" t="s">
        <v>2244</v>
      </c>
      <c r="AA708" s="9"/>
      <c r="AB708" s="9" t="s">
        <v>2347</v>
      </c>
      <c r="AC708" s="46" t="s">
        <v>2351</v>
      </c>
    </row>
    <row r="709" spans="1:29" ht="33.75" customHeight="1">
      <c r="A709" s="9"/>
      <c r="B709" s="8" t="s">
        <v>533</v>
      </c>
      <c r="C709" s="9">
        <v>522700</v>
      </c>
      <c r="D709" s="9">
        <v>283800</v>
      </c>
      <c r="E709" s="9" t="s">
        <v>2567</v>
      </c>
      <c r="F709" s="9">
        <v>52.438406690599997</v>
      </c>
      <c r="G709" s="9">
        <v>-0.19640552118599999</v>
      </c>
      <c r="H709" s="9" t="s">
        <v>2245</v>
      </c>
      <c r="I709" s="8" t="s">
        <v>2246</v>
      </c>
      <c r="J709" s="9">
        <v>-1</v>
      </c>
      <c r="K709" s="11" t="s">
        <v>2247</v>
      </c>
      <c r="L709" s="11" t="s">
        <v>2</v>
      </c>
      <c r="M709" s="8" t="s">
        <v>592</v>
      </c>
      <c r="N709" s="8" t="s">
        <v>592</v>
      </c>
      <c r="O709" s="11" t="s">
        <v>592</v>
      </c>
      <c r="P709" s="22">
        <v>0</v>
      </c>
      <c r="Q709" s="12"/>
      <c r="R709" s="11" t="s">
        <v>599</v>
      </c>
      <c r="S709" s="8">
        <v>22</v>
      </c>
      <c r="T709" s="12"/>
      <c r="U709" s="11" t="s">
        <v>592</v>
      </c>
      <c r="V709" s="11" t="s">
        <v>593</v>
      </c>
      <c r="W709" s="11"/>
      <c r="X709" s="9" t="s">
        <v>1338</v>
      </c>
      <c r="Y709" s="9"/>
      <c r="Z709" s="8" t="s">
        <v>2248</v>
      </c>
      <c r="AA709" s="9"/>
      <c r="AB709" s="9" t="s">
        <v>2347</v>
      </c>
      <c r="AC709" s="46" t="s">
        <v>2351</v>
      </c>
    </row>
    <row r="710" spans="1:29" ht="33.75" customHeight="1">
      <c r="A710" s="9"/>
      <c r="B710" s="8" t="s">
        <v>533</v>
      </c>
      <c r="C710" s="9">
        <v>522900</v>
      </c>
      <c r="D710" s="9">
        <v>285200</v>
      </c>
      <c r="E710" s="9" t="s">
        <v>2567</v>
      </c>
      <c r="F710" s="9">
        <v>52.450941557299998</v>
      </c>
      <c r="G710" s="9">
        <v>-0.192950181838</v>
      </c>
      <c r="H710" s="9" t="s">
        <v>2249</v>
      </c>
      <c r="I710" s="8" t="s">
        <v>2246</v>
      </c>
      <c r="J710" s="9">
        <v>0</v>
      </c>
      <c r="K710" s="11" t="s">
        <v>841</v>
      </c>
      <c r="L710" s="11" t="s">
        <v>2</v>
      </c>
      <c r="M710" s="8" t="s">
        <v>592</v>
      </c>
      <c r="N710" s="8" t="s">
        <v>592</v>
      </c>
      <c r="O710" s="11" t="s">
        <v>592</v>
      </c>
      <c r="P710" s="22">
        <v>0</v>
      </c>
      <c r="Q710" s="12"/>
      <c r="R710" s="11" t="s">
        <v>599</v>
      </c>
      <c r="S710" s="8">
        <v>12</v>
      </c>
      <c r="T710" s="12"/>
      <c r="U710" s="11" t="s">
        <v>592</v>
      </c>
      <c r="V710" s="11" t="s">
        <v>593</v>
      </c>
      <c r="W710" s="11"/>
      <c r="X710" s="9" t="s">
        <v>1338</v>
      </c>
      <c r="Y710" s="9"/>
      <c r="Z710" s="8" t="s">
        <v>2248</v>
      </c>
      <c r="AA710" s="9"/>
      <c r="AB710" s="9" t="s">
        <v>2347</v>
      </c>
      <c r="AC710" s="46" t="s">
        <v>2351</v>
      </c>
    </row>
    <row r="711" spans="1:29" ht="33.75" customHeight="1">
      <c r="A711" s="9"/>
      <c r="B711" s="8" t="s">
        <v>533</v>
      </c>
      <c r="C711" s="9">
        <v>519900</v>
      </c>
      <c r="D711" s="9">
        <v>290500</v>
      </c>
      <c r="E711" s="9" t="s">
        <v>2567</v>
      </c>
      <c r="F711" s="9">
        <v>52.499231725900003</v>
      </c>
      <c r="G711" s="9">
        <v>-0.23516774323</v>
      </c>
      <c r="H711" s="9" t="s">
        <v>2252</v>
      </c>
      <c r="I711" s="8" t="s">
        <v>1248</v>
      </c>
      <c r="J711" s="9">
        <v>-1</v>
      </c>
      <c r="K711" s="11" t="s">
        <v>577</v>
      </c>
      <c r="L711" s="11" t="s">
        <v>2</v>
      </c>
      <c r="M711" s="8" t="s">
        <v>592</v>
      </c>
      <c r="N711" s="8" t="s">
        <v>592</v>
      </c>
      <c r="O711" s="11" t="s">
        <v>592</v>
      </c>
      <c r="P711" s="22">
        <v>0</v>
      </c>
      <c r="Q711" s="12"/>
      <c r="R711" s="11" t="s">
        <v>599</v>
      </c>
      <c r="S711" s="8">
        <v>34</v>
      </c>
      <c r="T711" s="12"/>
      <c r="U711" s="11" t="s">
        <v>592</v>
      </c>
      <c r="V711" s="11" t="s">
        <v>593</v>
      </c>
      <c r="W711" s="11"/>
      <c r="X711" s="9" t="s">
        <v>1338</v>
      </c>
      <c r="Y711" s="9"/>
      <c r="Z711" s="8" t="s">
        <v>2248</v>
      </c>
      <c r="AA711" s="9"/>
      <c r="AB711" s="9" t="s">
        <v>2347</v>
      </c>
      <c r="AC711" s="46" t="s">
        <v>2351</v>
      </c>
    </row>
    <row r="712" spans="1:29" ht="33.75" customHeight="1">
      <c r="A712" s="9"/>
      <c r="B712" s="8" t="s">
        <v>533</v>
      </c>
      <c r="C712" s="9">
        <v>562800</v>
      </c>
      <c r="D712" s="9">
        <v>284700</v>
      </c>
      <c r="E712" s="9" t="s">
        <v>2567</v>
      </c>
      <c r="F712" s="9">
        <v>52.436029523999999</v>
      </c>
      <c r="G712" s="9">
        <v>0.39344785080099998</v>
      </c>
      <c r="H712" s="9" t="s">
        <v>2253</v>
      </c>
      <c r="I712" s="8" t="s">
        <v>2243</v>
      </c>
      <c r="J712" s="9">
        <v>0</v>
      </c>
      <c r="K712" s="11"/>
      <c r="L712" s="11" t="s">
        <v>2</v>
      </c>
      <c r="M712" s="8" t="s">
        <v>592</v>
      </c>
      <c r="N712" s="8" t="s">
        <v>592</v>
      </c>
      <c r="O712" s="11" t="s">
        <v>592</v>
      </c>
      <c r="P712" s="22">
        <v>0</v>
      </c>
      <c r="Q712" s="12"/>
      <c r="R712" s="11" t="s">
        <v>599</v>
      </c>
      <c r="S712" s="8">
        <v>17</v>
      </c>
      <c r="T712" s="12"/>
      <c r="U712" s="11" t="s">
        <v>592</v>
      </c>
      <c r="V712" s="11" t="s">
        <v>593</v>
      </c>
      <c r="W712" s="11"/>
      <c r="X712" s="9" t="s">
        <v>1338</v>
      </c>
      <c r="Y712" s="9"/>
      <c r="Z712" s="8" t="s">
        <v>2248</v>
      </c>
      <c r="AA712" s="9"/>
      <c r="AB712" s="9" t="s">
        <v>2347</v>
      </c>
      <c r="AC712" s="46" t="s">
        <v>2351</v>
      </c>
    </row>
    <row r="713" spans="1:29" ht="33.75" customHeight="1">
      <c r="A713" s="9"/>
      <c r="B713" s="8" t="s">
        <v>533</v>
      </c>
      <c r="C713" s="9">
        <v>556200</v>
      </c>
      <c r="D713" s="9">
        <v>284900</v>
      </c>
      <c r="E713" s="9" t="s">
        <v>2567</v>
      </c>
      <c r="F713" s="9">
        <v>52.439750248999999</v>
      </c>
      <c r="G713" s="9">
        <v>0.296538237993</v>
      </c>
      <c r="H713" s="9" t="s">
        <v>2254</v>
      </c>
      <c r="I713" s="8" t="s">
        <v>1024</v>
      </c>
      <c r="J713" s="9">
        <v>0</v>
      </c>
      <c r="K713" s="11" t="s">
        <v>841</v>
      </c>
      <c r="L713" s="11" t="s">
        <v>2</v>
      </c>
      <c r="M713" s="8" t="s">
        <v>592</v>
      </c>
      <c r="N713" s="8" t="s">
        <v>592</v>
      </c>
      <c r="O713" s="11" t="s">
        <v>592</v>
      </c>
      <c r="P713" s="22">
        <v>0</v>
      </c>
      <c r="Q713" s="12"/>
      <c r="R713" s="11" t="s">
        <v>599</v>
      </c>
      <c r="S713" s="8">
        <v>10</v>
      </c>
      <c r="T713" s="12"/>
      <c r="U713" s="11" t="s">
        <v>592</v>
      </c>
      <c r="V713" s="11" t="s">
        <v>593</v>
      </c>
      <c r="W713" s="11"/>
      <c r="X713" s="9" t="s">
        <v>1338</v>
      </c>
      <c r="Y713" s="9"/>
      <c r="Z713" s="8" t="s">
        <v>2248</v>
      </c>
      <c r="AA713" s="9"/>
      <c r="AB713" s="9" t="s">
        <v>2347</v>
      </c>
      <c r="AC713" s="46" t="s">
        <v>2351</v>
      </c>
    </row>
    <row r="714" spans="1:29" ht="33.75" customHeight="1">
      <c r="A714" s="9"/>
      <c r="B714" s="8" t="s">
        <v>533</v>
      </c>
      <c r="C714" s="9">
        <v>566000</v>
      </c>
      <c r="D714" s="9">
        <v>293000</v>
      </c>
      <c r="E714" s="9" t="s">
        <v>2567</v>
      </c>
      <c r="F714" s="9">
        <v>52.509616878700001</v>
      </c>
      <c r="G714" s="9">
        <v>0.44460492974400001</v>
      </c>
      <c r="H714" s="9" t="s">
        <v>2255</v>
      </c>
      <c r="I714" s="8" t="s">
        <v>2256</v>
      </c>
      <c r="J714" s="9">
        <v>-1</v>
      </c>
      <c r="K714" s="11"/>
      <c r="L714" s="11" t="s">
        <v>2</v>
      </c>
      <c r="M714" s="8" t="s">
        <v>592</v>
      </c>
      <c r="N714" s="8" t="s">
        <v>592</v>
      </c>
      <c r="O714" s="11" t="s">
        <v>592</v>
      </c>
      <c r="P714" s="22">
        <v>0</v>
      </c>
      <c r="Q714" s="12"/>
      <c r="R714" s="11" t="s">
        <v>599</v>
      </c>
      <c r="S714" s="8">
        <v>15</v>
      </c>
      <c r="T714" s="12"/>
      <c r="U714" s="11" t="s">
        <v>592</v>
      </c>
      <c r="V714" s="11" t="s">
        <v>593</v>
      </c>
      <c r="W714" s="11"/>
      <c r="X714" s="9" t="s">
        <v>1338</v>
      </c>
      <c r="Y714" s="9"/>
      <c r="Z714" s="8" t="s">
        <v>2248</v>
      </c>
      <c r="AA714" s="9"/>
      <c r="AB714" s="9" t="s">
        <v>2347</v>
      </c>
      <c r="AC714" s="46" t="s">
        <v>2351</v>
      </c>
    </row>
    <row r="715" spans="1:29" ht="33.75" customHeight="1">
      <c r="A715" s="9"/>
      <c r="B715" s="8" t="s">
        <v>533</v>
      </c>
      <c r="C715" s="9">
        <v>572400</v>
      </c>
      <c r="D715" s="9">
        <v>286700</v>
      </c>
      <c r="E715" s="9" t="s">
        <v>2567</v>
      </c>
      <c r="F715" s="9">
        <v>52.451051244200002</v>
      </c>
      <c r="G715" s="9">
        <v>0.53555466350600001</v>
      </c>
      <c r="H715" s="9" t="s">
        <v>2257</v>
      </c>
      <c r="I715" s="8" t="s">
        <v>2258</v>
      </c>
      <c r="J715" s="9">
        <v>3</v>
      </c>
      <c r="K715" s="11"/>
      <c r="L715" s="11" t="s">
        <v>2</v>
      </c>
      <c r="M715" s="8" t="s">
        <v>592</v>
      </c>
      <c r="N715" s="8" t="s">
        <v>592</v>
      </c>
      <c r="O715" s="11" t="s">
        <v>592</v>
      </c>
      <c r="P715" s="22">
        <v>0</v>
      </c>
      <c r="Q715" s="12"/>
      <c r="R715" s="11" t="s">
        <v>599</v>
      </c>
      <c r="S715" s="8">
        <v>12</v>
      </c>
      <c r="T715" s="12"/>
      <c r="U715" s="11" t="s">
        <v>592</v>
      </c>
      <c r="V715" s="11" t="s">
        <v>593</v>
      </c>
      <c r="W715" s="11"/>
      <c r="X715" s="9" t="s">
        <v>1338</v>
      </c>
      <c r="Y715" s="9"/>
      <c r="Z715" s="8" t="s">
        <v>2248</v>
      </c>
      <c r="AA715" s="9"/>
      <c r="AB715" s="9" t="s">
        <v>2347</v>
      </c>
      <c r="AC715" s="46" t="s">
        <v>2351</v>
      </c>
    </row>
    <row r="716" spans="1:29" ht="33.75" customHeight="1">
      <c r="A716" s="9"/>
      <c r="B716" s="8" t="s">
        <v>533</v>
      </c>
      <c r="C716" s="9">
        <v>564000</v>
      </c>
      <c r="D716" s="9">
        <v>284800</v>
      </c>
      <c r="E716" s="9" t="s">
        <v>2567</v>
      </c>
      <c r="F716" s="9">
        <v>52.436569339499997</v>
      </c>
      <c r="G716" s="9">
        <v>0.41113262805700002</v>
      </c>
      <c r="H716" s="9" t="s">
        <v>2261</v>
      </c>
      <c r="I716" s="8" t="s">
        <v>2262</v>
      </c>
      <c r="J716" s="9">
        <v>0</v>
      </c>
      <c r="K716" s="11"/>
      <c r="L716" s="11" t="s">
        <v>2</v>
      </c>
      <c r="M716" s="8" t="s">
        <v>592</v>
      </c>
      <c r="N716" s="8" t="s">
        <v>592</v>
      </c>
      <c r="O716" s="11" t="s">
        <v>592</v>
      </c>
      <c r="P716" s="22">
        <v>0</v>
      </c>
      <c r="Q716" s="12"/>
      <c r="R716" s="11" t="s">
        <v>599</v>
      </c>
      <c r="S716" s="8">
        <v>8</v>
      </c>
      <c r="T716" s="12"/>
      <c r="U716" s="11" t="s">
        <v>592</v>
      </c>
      <c r="V716" s="11" t="s">
        <v>593</v>
      </c>
      <c r="W716" s="11"/>
      <c r="X716" s="9" t="s">
        <v>1338</v>
      </c>
      <c r="Y716" s="9"/>
      <c r="Z716" s="8" t="s">
        <v>2248</v>
      </c>
      <c r="AA716" s="9"/>
      <c r="AB716" s="9" t="s">
        <v>2347</v>
      </c>
      <c r="AC716" s="46" t="s">
        <v>2351</v>
      </c>
    </row>
    <row r="717" spans="1:29" ht="33.75" customHeight="1">
      <c r="A717" s="9"/>
      <c r="B717" s="8" t="s">
        <v>533</v>
      </c>
      <c r="C717" s="9">
        <v>556000</v>
      </c>
      <c r="D717" s="9">
        <v>300100</v>
      </c>
      <c r="E717" s="9" t="s">
        <v>2567</v>
      </c>
      <c r="F717" s="9">
        <v>52.576344131200003</v>
      </c>
      <c r="G717" s="9">
        <v>0.300719818651</v>
      </c>
      <c r="H717" s="9" t="s">
        <v>2263</v>
      </c>
      <c r="I717" s="8" t="s">
        <v>2264</v>
      </c>
      <c r="J717" s="9">
        <v>0</v>
      </c>
      <c r="K717" s="11" t="s">
        <v>841</v>
      </c>
      <c r="L717" s="11" t="s">
        <v>2</v>
      </c>
      <c r="M717" s="8" t="s">
        <v>592</v>
      </c>
      <c r="N717" s="8" t="s">
        <v>592</v>
      </c>
      <c r="O717" s="11" t="s">
        <v>592</v>
      </c>
      <c r="P717" s="22">
        <v>0</v>
      </c>
      <c r="Q717" s="12"/>
      <c r="R717" s="11" t="s">
        <v>599</v>
      </c>
      <c r="S717" s="8">
        <v>8</v>
      </c>
      <c r="T717" s="12"/>
      <c r="U717" s="11" t="s">
        <v>592</v>
      </c>
      <c r="V717" s="11" t="s">
        <v>593</v>
      </c>
      <c r="W717" s="11"/>
      <c r="X717" s="9" t="s">
        <v>1338</v>
      </c>
      <c r="Y717" s="9"/>
      <c r="Z717" s="8" t="s">
        <v>2248</v>
      </c>
      <c r="AA717" s="9"/>
      <c r="AB717" s="9" t="s">
        <v>2347</v>
      </c>
      <c r="AC717" s="46" t="s">
        <v>2351</v>
      </c>
    </row>
    <row r="718" spans="1:29" ht="33.75" customHeight="1">
      <c r="A718" s="9"/>
      <c r="B718" s="8" t="s">
        <v>533</v>
      </c>
      <c r="C718" s="9">
        <v>555700</v>
      </c>
      <c r="D718" s="9">
        <v>300100</v>
      </c>
      <c r="E718" s="9" t="s">
        <v>2567</v>
      </c>
      <c r="F718" s="9">
        <v>52.576430020099998</v>
      </c>
      <c r="G718" s="9">
        <v>0.29629647292700001</v>
      </c>
      <c r="H718" s="9" t="s">
        <v>2265</v>
      </c>
      <c r="I718" s="8" t="s">
        <v>2264</v>
      </c>
      <c r="J718" s="9">
        <v>0</v>
      </c>
      <c r="K718" s="11" t="s">
        <v>424</v>
      </c>
      <c r="L718" s="11" t="s">
        <v>2</v>
      </c>
      <c r="M718" s="8" t="s">
        <v>592</v>
      </c>
      <c r="N718" s="8" t="s">
        <v>592</v>
      </c>
      <c r="O718" s="11" t="s">
        <v>592</v>
      </c>
      <c r="P718" s="22">
        <v>0</v>
      </c>
      <c r="Q718" s="12"/>
      <c r="R718" s="11" t="s">
        <v>599</v>
      </c>
      <c r="S718" s="8">
        <v>6</v>
      </c>
      <c r="T718" s="12"/>
      <c r="U718" s="11" t="s">
        <v>592</v>
      </c>
      <c r="V718" s="11" t="s">
        <v>593</v>
      </c>
      <c r="W718" s="11"/>
      <c r="X718" s="9" t="s">
        <v>1338</v>
      </c>
      <c r="Y718" s="9"/>
      <c r="Z718" s="8" t="s">
        <v>2248</v>
      </c>
      <c r="AA718" s="9"/>
      <c r="AB718" s="9" t="s">
        <v>2347</v>
      </c>
      <c r="AC718" s="46" t="s">
        <v>2351</v>
      </c>
    </row>
    <row r="719" spans="1:29" ht="33.75" customHeight="1">
      <c r="A719" s="9"/>
      <c r="B719" s="8" t="s">
        <v>533</v>
      </c>
      <c r="C719" s="9">
        <v>555200</v>
      </c>
      <c r="D719" s="9">
        <v>284900</v>
      </c>
      <c r="E719" s="9" t="s">
        <v>2567</v>
      </c>
      <c r="F719" s="9">
        <v>52.440034871000002</v>
      </c>
      <c r="G719" s="9">
        <v>0.28183926148100003</v>
      </c>
      <c r="H719" s="9" t="s">
        <v>2266</v>
      </c>
      <c r="I719" s="8" t="s">
        <v>1024</v>
      </c>
      <c r="J719" s="9">
        <v>0</v>
      </c>
      <c r="K719" s="11" t="s">
        <v>2267</v>
      </c>
      <c r="L719" s="11" t="s">
        <v>2</v>
      </c>
      <c r="M719" s="8" t="s">
        <v>592</v>
      </c>
      <c r="N719" s="8" t="s">
        <v>592</v>
      </c>
      <c r="O719" s="11" t="s">
        <v>592</v>
      </c>
      <c r="P719" s="22">
        <v>0</v>
      </c>
      <c r="Q719" s="12"/>
      <c r="R719" s="11" t="s">
        <v>599</v>
      </c>
      <c r="S719" s="8">
        <v>7</v>
      </c>
      <c r="T719" s="12"/>
      <c r="U719" s="11" t="s">
        <v>592</v>
      </c>
      <c r="V719" s="11" t="s">
        <v>593</v>
      </c>
      <c r="W719" s="11"/>
      <c r="X719" s="9" t="s">
        <v>1338</v>
      </c>
      <c r="Y719" s="9"/>
      <c r="Z719" s="8" t="s">
        <v>2248</v>
      </c>
      <c r="AA719" s="9"/>
      <c r="AB719" s="9" t="s">
        <v>2347</v>
      </c>
      <c r="AC719" s="46" t="s">
        <v>2351</v>
      </c>
    </row>
    <row r="720" spans="1:29" ht="33.75" customHeight="1">
      <c r="A720" s="9"/>
      <c r="B720" s="8" t="s">
        <v>533</v>
      </c>
      <c r="C720" s="9">
        <v>566400</v>
      </c>
      <c r="D720" s="9">
        <v>285600</v>
      </c>
      <c r="E720" s="9" t="s">
        <v>2459</v>
      </c>
      <c r="F720" s="9">
        <v>52.443030106000002</v>
      </c>
      <c r="G720" s="9">
        <v>0.44680187847300001</v>
      </c>
      <c r="H720" s="9" t="s">
        <v>2268</v>
      </c>
      <c r="I720" s="8" t="s">
        <v>2269</v>
      </c>
      <c r="J720" s="9">
        <v>0</v>
      </c>
      <c r="K720" s="11"/>
      <c r="L720" s="11" t="s">
        <v>2</v>
      </c>
      <c r="M720" s="8" t="s">
        <v>592</v>
      </c>
      <c r="N720" s="8" t="s">
        <v>592</v>
      </c>
      <c r="O720" s="11" t="s">
        <v>592</v>
      </c>
      <c r="P720" s="22">
        <v>0</v>
      </c>
      <c r="Q720" s="12"/>
      <c r="R720" s="11" t="s">
        <v>599</v>
      </c>
      <c r="S720" s="8">
        <v>68</v>
      </c>
      <c r="T720" s="12"/>
      <c r="U720" s="11" t="s">
        <v>592</v>
      </c>
      <c r="V720" s="11" t="s">
        <v>593</v>
      </c>
      <c r="W720" s="11"/>
      <c r="X720" s="9" t="s">
        <v>1338</v>
      </c>
      <c r="Y720" s="9"/>
      <c r="Z720" s="8" t="s">
        <v>459</v>
      </c>
      <c r="AA720" s="9"/>
      <c r="AB720" s="9" t="s">
        <v>2347</v>
      </c>
      <c r="AC720" s="46" t="s">
        <v>2351</v>
      </c>
    </row>
    <row r="721" spans="1:29" ht="33.75" customHeight="1">
      <c r="A721" s="9"/>
      <c r="B721" s="8" t="s">
        <v>533</v>
      </c>
      <c r="C721" s="9">
        <v>555500</v>
      </c>
      <c r="D721" s="9">
        <v>270300</v>
      </c>
      <c r="E721" s="9" t="s">
        <v>2459</v>
      </c>
      <c r="F721" s="9">
        <v>52.308798182300002</v>
      </c>
      <c r="G721" s="9">
        <v>0.27948397001899999</v>
      </c>
      <c r="H721" s="9" t="s">
        <v>2270</v>
      </c>
      <c r="I721" s="8" t="s">
        <v>2271</v>
      </c>
      <c r="J721" s="9">
        <v>2</v>
      </c>
      <c r="K721" s="11" t="s">
        <v>577</v>
      </c>
      <c r="L721" s="11" t="s">
        <v>2</v>
      </c>
      <c r="M721" s="8" t="s">
        <v>592</v>
      </c>
      <c r="N721" s="8" t="s">
        <v>592</v>
      </c>
      <c r="O721" s="11" t="s">
        <v>592</v>
      </c>
      <c r="P721" s="22">
        <v>0</v>
      </c>
      <c r="Q721" s="12"/>
      <c r="R721" s="11" t="s">
        <v>599</v>
      </c>
      <c r="S721" s="8">
        <v>21</v>
      </c>
      <c r="T721" s="12"/>
      <c r="U721" s="11" t="s">
        <v>592</v>
      </c>
      <c r="V721" s="11" t="s">
        <v>593</v>
      </c>
      <c r="W721" s="11"/>
      <c r="X721" s="9" t="s">
        <v>1338</v>
      </c>
      <c r="Y721" s="9"/>
      <c r="Z721" s="8" t="s">
        <v>459</v>
      </c>
      <c r="AA721" s="9"/>
      <c r="AB721" s="9" t="s">
        <v>2347</v>
      </c>
      <c r="AC721" s="46" t="s">
        <v>2351</v>
      </c>
    </row>
    <row r="722" spans="1:29" ht="33.75" customHeight="1">
      <c r="A722" s="9"/>
      <c r="B722" s="8" t="s">
        <v>533</v>
      </c>
      <c r="C722" s="9">
        <v>555100</v>
      </c>
      <c r="D722" s="9">
        <v>268700</v>
      </c>
      <c r="E722" s="9" t="s">
        <v>2459</v>
      </c>
      <c r="F722" s="9">
        <v>52.294538165699997</v>
      </c>
      <c r="G722" s="9">
        <v>0.272885383092</v>
      </c>
      <c r="H722" s="9" t="s">
        <v>2272</v>
      </c>
      <c r="I722" s="8" t="s">
        <v>2273</v>
      </c>
      <c r="J722" s="9">
        <v>0</v>
      </c>
      <c r="K722" s="11" t="s">
        <v>577</v>
      </c>
      <c r="L722" s="11" t="s">
        <v>2</v>
      </c>
      <c r="M722" s="8" t="s">
        <v>592</v>
      </c>
      <c r="N722" s="8" t="s">
        <v>592</v>
      </c>
      <c r="O722" s="11" t="s">
        <v>592</v>
      </c>
      <c r="P722" s="22">
        <v>0</v>
      </c>
      <c r="Q722" s="12"/>
      <c r="R722" s="11" t="s">
        <v>599</v>
      </c>
      <c r="S722" s="8">
        <v>28</v>
      </c>
      <c r="T722" s="12"/>
      <c r="U722" s="11" t="s">
        <v>592</v>
      </c>
      <c r="V722" s="11" t="s">
        <v>593</v>
      </c>
      <c r="W722" s="11"/>
      <c r="X722" s="9" t="s">
        <v>1338</v>
      </c>
      <c r="Y722" s="9"/>
      <c r="Z722" s="8" t="s">
        <v>459</v>
      </c>
      <c r="AA722" s="9"/>
      <c r="AB722" s="9" t="s">
        <v>2347</v>
      </c>
      <c r="AC722" s="46" t="s">
        <v>2351</v>
      </c>
    </row>
    <row r="723" spans="1:29" ht="33.75" customHeight="1">
      <c r="A723" s="9"/>
      <c r="B723" s="8" t="s">
        <v>533</v>
      </c>
      <c r="C723" s="9">
        <v>553700</v>
      </c>
      <c r="D723" s="9">
        <v>270000</v>
      </c>
      <c r="E723" s="9" t="s">
        <v>2459</v>
      </c>
      <c r="F723" s="9">
        <v>52.306609519299997</v>
      </c>
      <c r="G723" s="9">
        <v>0.25296660216</v>
      </c>
      <c r="H723" s="9" t="s">
        <v>2274</v>
      </c>
      <c r="I723" s="8" t="s">
        <v>2275</v>
      </c>
      <c r="J723" s="9">
        <v>4</v>
      </c>
      <c r="K723" s="11" t="s">
        <v>841</v>
      </c>
      <c r="L723" s="11" t="s">
        <v>2</v>
      </c>
      <c r="M723" s="8" t="s">
        <v>592</v>
      </c>
      <c r="N723" s="8" t="s">
        <v>592</v>
      </c>
      <c r="O723" s="11" t="s">
        <v>592</v>
      </c>
      <c r="P723" s="22">
        <v>0</v>
      </c>
      <c r="Q723" s="12"/>
      <c r="R723" s="11" t="s">
        <v>599</v>
      </c>
      <c r="S723" s="8">
        <v>11</v>
      </c>
      <c r="T723" s="12"/>
      <c r="U723" s="11" t="s">
        <v>592</v>
      </c>
      <c r="V723" s="11" t="s">
        <v>593</v>
      </c>
      <c r="W723" s="11"/>
      <c r="X723" s="9" t="s">
        <v>1338</v>
      </c>
      <c r="Y723" s="9"/>
      <c r="Z723" s="8" t="s">
        <v>459</v>
      </c>
      <c r="AA723" s="9"/>
      <c r="AB723" s="9" t="s">
        <v>2347</v>
      </c>
      <c r="AC723" s="46" t="s">
        <v>2351</v>
      </c>
    </row>
    <row r="724" spans="1:29" ht="33.75" customHeight="1">
      <c r="A724" s="9"/>
      <c r="B724" s="8" t="s">
        <v>533</v>
      </c>
      <c r="C724" s="9">
        <v>553700</v>
      </c>
      <c r="D724" s="9">
        <v>270100</v>
      </c>
      <c r="E724" s="9" t="s">
        <v>2459</v>
      </c>
      <c r="F724" s="9">
        <v>52.307507846</v>
      </c>
      <c r="G724" s="9">
        <v>0.25301222087300002</v>
      </c>
      <c r="H724" s="9" t="s">
        <v>2274</v>
      </c>
      <c r="I724" s="8" t="s">
        <v>2275</v>
      </c>
      <c r="J724" s="9">
        <v>4</v>
      </c>
      <c r="K724" s="11" t="s">
        <v>577</v>
      </c>
      <c r="L724" s="11" t="s">
        <v>2</v>
      </c>
      <c r="M724" s="8" t="s">
        <v>592</v>
      </c>
      <c r="N724" s="8" t="s">
        <v>592</v>
      </c>
      <c r="O724" s="11" t="s">
        <v>592</v>
      </c>
      <c r="P724" s="22">
        <v>0</v>
      </c>
      <c r="Q724" s="12"/>
      <c r="R724" s="11" t="s">
        <v>599</v>
      </c>
      <c r="S724" s="8">
        <v>24</v>
      </c>
      <c r="T724" s="12"/>
      <c r="U724" s="11" t="s">
        <v>592</v>
      </c>
      <c r="V724" s="11" t="s">
        <v>593</v>
      </c>
      <c r="W724" s="11"/>
      <c r="X724" s="9" t="s">
        <v>1338</v>
      </c>
      <c r="Y724" s="9"/>
      <c r="Z724" s="8" t="s">
        <v>459</v>
      </c>
      <c r="AA724" s="9"/>
      <c r="AB724" s="9" t="s">
        <v>2347</v>
      </c>
      <c r="AC724" s="46" t="s">
        <v>2351</v>
      </c>
    </row>
    <row r="725" spans="1:29" ht="33.75" customHeight="1">
      <c r="A725" s="9"/>
      <c r="B725" s="8" t="s">
        <v>533</v>
      </c>
      <c r="C725" s="9">
        <v>564100</v>
      </c>
      <c r="D725" s="9">
        <v>295600</v>
      </c>
      <c r="E725" s="9" t="s">
        <v>2459</v>
      </c>
      <c r="F725" s="9">
        <v>52.533544496799998</v>
      </c>
      <c r="G725" s="9">
        <v>0.417917794244</v>
      </c>
      <c r="H725" s="9" t="s">
        <v>2276</v>
      </c>
      <c r="I725" s="8" t="s">
        <v>2256</v>
      </c>
      <c r="J725" s="9">
        <v>1</v>
      </c>
      <c r="K725" s="11" t="s">
        <v>2277</v>
      </c>
      <c r="L725" s="11" t="s">
        <v>2</v>
      </c>
      <c r="M725" s="8" t="s">
        <v>592</v>
      </c>
      <c r="N725" s="8" t="s">
        <v>592</v>
      </c>
      <c r="O725" s="11" t="s">
        <v>592</v>
      </c>
      <c r="P725" s="22">
        <v>0</v>
      </c>
      <c r="Q725" s="12"/>
      <c r="R725" s="11" t="s">
        <v>599</v>
      </c>
      <c r="S725" s="8">
        <v>10</v>
      </c>
      <c r="T725" s="12"/>
      <c r="U725" s="11" t="s">
        <v>592</v>
      </c>
      <c r="V725" s="11" t="s">
        <v>593</v>
      </c>
      <c r="W725" s="11"/>
      <c r="X725" s="9" t="s">
        <v>1338</v>
      </c>
      <c r="Y725" s="9"/>
      <c r="Z725" s="8" t="s">
        <v>459</v>
      </c>
      <c r="AA725" s="9"/>
      <c r="AB725" s="9" t="s">
        <v>2347</v>
      </c>
      <c r="AC725" s="46" t="s">
        <v>2351</v>
      </c>
    </row>
    <row r="726" spans="1:29" ht="33.75" customHeight="1">
      <c r="A726" s="9"/>
      <c r="B726" s="8" t="s">
        <v>533</v>
      </c>
      <c r="C726" s="9">
        <v>524400</v>
      </c>
      <c r="D726" s="9">
        <v>286800</v>
      </c>
      <c r="E726" s="9" t="s">
        <v>2459</v>
      </c>
      <c r="F726" s="9">
        <v>52.464979064300003</v>
      </c>
      <c r="G726" s="9">
        <v>-0.17029383896700001</v>
      </c>
      <c r="H726" s="9" t="s">
        <v>2250</v>
      </c>
      <c r="I726" s="8" t="s">
        <v>2251</v>
      </c>
      <c r="J726" s="9">
        <v>-1</v>
      </c>
      <c r="K726" s="11" t="s">
        <v>2278</v>
      </c>
      <c r="L726" s="11" t="s">
        <v>2</v>
      </c>
      <c r="M726" s="8" t="s">
        <v>592</v>
      </c>
      <c r="N726" s="8" t="s">
        <v>592</v>
      </c>
      <c r="O726" s="11" t="s">
        <v>592</v>
      </c>
      <c r="P726" s="22">
        <v>0</v>
      </c>
      <c r="Q726" s="12"/>
      <c r="R726" s="11" t="s">
        <v>599</v>
      </c>
      <c r="S726" s="8">
        <v>41</v>
      </c>
      <c r="T726" s="12"/>
      <c r="U726" s="11" t="s">
        <v>592</v>
      </c>
      <c r="V726" s="11" t="s">
        <v>593</v>
      </c>
      <c r="W726" s="11"/>
      <c r="X726" s="9" t="s">
        <v>1338</v>
      </c>
      <c r="Y726" s="9"/>
      <c r="Z726" s="8" t="s">
        <v>459</v>
      </c>
      <c r="AA726" s="9"/>
      <c r="AB726" s="9" t="s">
        <v>2347</v>
      </c>
      <c r="AC726" s="46" t="s">
        <v>2351</v>
      </c>
    </row>
    <row r="727" spans="1:29" ht="33.75" customHeight="1">
      <c r="A727" s="9"/>
      <c r="B727" s="8" t="s">
        <v>533</v>
      </c>
      <c r="C727" s="9">
        <v>551700</v>
      </c>
      <c r="D727" s="9">
        <v>297400</v>
      </c>
      <c r="E727" s="9" t="s">
        <v>2459</v>
      </c>
      <c r="F727" s="9">
        <v>52.553305399400003</v>
      </c>
      <c r="G727" s="9">
        <v>0.236082162323</v>
      </c>
      <c r="H727" s="9" t="s">
        <v>2279</v>
      </c>
      <c r="I727" s="8" t="s">
        <v>2280</v>
      </c>
      <c r="J727" s="9">
        <v>0</v>
      </c>
      <c r="K727" s="11"/>
      <c r="L727" s="11" t="s">
        <v>2</v>
      </c>
      <c r="M727" s="8" t="s">
        <v>592</v>
      </c>
      <c r="N727" s="8" t="s">
        <v>592</v>
      </c>
      <c r="O727" s="11" t="s">
        <v>592</v>
      </c>
      <c r="P727" s="22">
        <v>0</v>
      </c>
      <c r="Q727" s="12"/>
      <c r="R727" s="11" t="s">
        <v>599</v>
      </c>
      <c r="S727" s="8">
        <v>5</v>
      </c>
      <c r="T727" s="12"/>
      <c r="U727" s="11" t="s">
        <v>592</v>
      </c>
      <c r="V727" s="11" t="s">
        <v>593</v>
      </c>
      <c r="W727" s="11"/>
      <c r="X727" s="9" t="s">
        <v>1338</v>
      </c>
      <c r="Y727" s="9"/>
      <c r="Z727" s="8" t="s">
        <v>459</v>
      </c>
      <c r="AA727" s="9"/>
      <c r="AB727" s="9" t="s">
        <v>2347</v>
      </c>
      <c r="AC727" s="46" t="s">
        <v>2351</v>
      </c>
    </row>
    <row r="728" spans="1:29" ht="33.75" customHeight="1">
      <c r="A728" s="9"/>
      <c r="B728" s="8" t="s">
        <v>533</v>
      </c>
      <c r="C728" s="9">
        <v>544500</v>
      </c>
      <c r="D728" s="9">
        <v>302500</v>
      </c>
      <c r="E728" s="9" t="s">
        <v>2459</v>
      </c>
      <c r="F728" s="9">
        <v>52.601078921000003</v>
      </c>
      <c r="G728" s="9">
        <v>0.13218916684000001</v>
      </c>
      <c r="H728" s="9" t="s">
        <v>2281</v>
      </c>
      <c r="I728" s="8" t="s">
        <v>2282</v>
      </c>
      <c r="J728" s="9">
        <v>2</v>
      </c>
      <c r="K728" s="11"/>
      <c r="L728" s="11" t="s">
        <v>2</v>
      </c>
      <c r="M728" s="8" t="s">
        <v>592</v>
      </c>
      <c r="N728" s="8" t="s">
        <v>592</v>
      </c>
      <c r="O728" s="11" t="s">
        <v>592</v>
      </c>
      <c r="P728" s="22">
        <v>0</v>
      </c>
      <c r="Q728" s="12"/>
      <c r="R728" s="11" t="s">
        <v>599</v>
      </c>
      <c r="S728" s="8">
        <v>12</v>
      </c>
      <c r="T728" s="12"/>
      <c r="U728" s="11" t="s">
        <v>592</v>
      </c>
      <c r="V728" s="11" t="s">
        <v>593</v>
      </c>
      <c r="W728" s="11"/>
      <c r="X728" s="9" t="s">
        <v>1338</v>
      </c>
      <c r="Y728" s="9"/>
      <c r="Z728" s="8" t="s">
        <v>459</v>
      </c>
      <c r="AA728" s="9"/>
      <c r="AB728" s="9" t="s">
        <v>2347</v>
      </c>
      <c r="AC728" s="46" t="s">
        <v>2351</v>
      </c>
    </row>
    <row r="729" spans="1:29" ht="33.75" customHeight="1">
      <c r="A729" s="9"/>
      <c r="B729" s="8" t="s">
        <v>533</v>
      </c>
      <c r="C729" s="9">
        <v>544200</v>
      </c>
      <c r="D729" s="9">
        <v>295800</v>
      </c>
      <c r="E729" s="9" t="s">
        <v>2459</v>
      </c>
      <c r="F729" s="9">
        <v>52.5409682584</v>
      </c>
      <c r="G729" s="9">
        <v>0.12485057669999999</v>
      </c>
      <c r="H729" s="9" t="s">
        <v>2283</v>
      </c>
      <c r="I729" s="8" t="s">
        <v>2284</v>
      </c>
      <c r="J729" s="9">
        <v>0</v>
      </c>
      <c r="K729" s="11"/>
      <c r="L729" s="11" t="s">
        <v>2</v>
      </c>
      <c r="M729" s="8" t="s">
        <v>592</v>
      </c>
      <c r="N729" s="8" t="s">
        <v>592</v>
      </c>
      <c r="O729" s="11" t="s">
        <v>592</v>
      </c>
      <c r="P729" s="22">
        <v>0</v>
      </c>
      <c r="Q729" s="12"/>
      <c r="R729" s="11" t="s">
        <v>599</v>
      </c>
      <c r="S729" s="8">
        <v>9</v>
      </c>
      <c r="T729" s="12"/>
      <c r="U729" s="11" t="s">
        <v>592</v>
      </c>
      <c r="V729" s="11" t="s">
        <v>593</v>
      </c>
      <c r="W729" s="11"/>
      <c r="X729" s="9" t="s">
        <v>1338</v>
      </c>
      <c r="Y729" s="9"/>
      <c r="Z729" s="8" t="s">
        <v>459</v>
      </c>
      <c r="AA729" s="9"/>
      <c r="AB729" s="9" t="s">
        <v>2347</v>
      </c>
      <c r="AC729" s="46" t="s">
        <v>2351</v>
      </c>
    </row>
    <row r="730" spans="1:29" ht="33.75" customHeight="1">
      <c r="A730" s="9"/>
      <c r="B730" s="8" t="s">
        <v>533</v>
      </c>
      <c r="C730" s="9">
        <v>554800</v>
      </c>
      <c r="D730" s="9">
        <v>285200</v>
      </c>
      <c r="E730" s="9" t="s">
        <v>2459</v>
      </c>
      <c r="F730" s="9">
        <v>52.442843084300002</v>
      </c>
      <c r="G730" s="9">
        <v>0.27609852885300001</v>
      </c>
      <c r="H730" s="9" t="s">
        <v>2285</v>
      </c>
      <c r="I730" s="8" t="s">
        <v>1024</v>
      </c>
      <c r="J730" s="9">
        <v>0</v>
      </c>
      <c r="K730" s="11" t="s">
        <v>2286</v>
      </c>
      <c r="L730" s="11" t="s">
        <v>2</v>
      </c>
      <c r="M730" s="8" t="s">
        <v>592</v>
      </c>
      <c r="N730" s="8" t="s">
        <v>592</v>
      </c>
      <c r="O730" s="11" t="s">
        <v>592</v>
      </c>
      <c r="P730" s="22">
        <v>0</v>
      </c>
      <c r="Q730" s="12"/>
      <c r="R730" s="11" t="s">
        <v>599</v>
      </c>
      <c r="S730" s="8">
        <v>4</v>
      </c>
      <c r="T730" s="12"/>
      <c r="U730" s="11" t="s">
        <v>592</v>
      </c>
      <c r="V730" s="11" t="s">
        <v>593</v>
      </c>
      <c r="W730" s="11"/>
      <c r="X730" s="9" t="s">
        <v>1338</v>
      </c>
      <c r="Y730" s="9"/>
      <c r="Z730" s="8" t="s">
        <v>459</v>
      </c>
      <c r="AA730" s="9"/>
      <c r="AB730" s="9" t="s">
        <v>2347</v>
      </c>
      <c r="AC730" s="46" t="s">
        <v>2351</v>
      </c>
    </row>
    <row r="731" spans="1:29" ht="33.75" customHeight="1">
      <c r="A731" s="9"/>
      <c r="B731" s="8" t="s">
        <v>533</v>
      </c>
      <c r="C731" s="9">
        <v>559700</v>
      </c>
      <c r="D731" s="9">
        <v>281600</v>
      </c>
      <c r="E731" s="9" t="s">
        <v>2459</v>
      </c>
      <c r="F731" s="9">
        <v>52.4090974613</v>
      </c>
      <c r="G731" s="9">
        <v>0.34640774878800001</v>
      </c>
      <c r="H731" s="9" t="s">
        <v>2287</v>
      </c>
      <c r="I731" s="8" t="s">
        <v>2288</v>
      </c>
      <c r="J731" s="9">
        <v>0</v>
      </c>
      <c r="K731" s="11"/>
      <c r="L731" s="11" t="s">
        <v>2</v>
      </c>
      <c r="M731" s="8" t="s">
        <v>592</v>
      </c>
      <c r="N731" s="8" t="s">
        <v>592</v>
      </c>
      <c r="O731" s="11" t="s">
        <v>592</v>
      </c>
      <c r="P731" s="22">
        <v>0</v>
      </c>
      <c r="Q731" s="12"/>
      <c r="R731" s="11" t="s">
        <v>599</v>
      </c>
      <c r="S731" s="8">
        <v>10</v>
      </c>
      <c r="T731" s="12"/>
      <c r="U731" s="11" t="s">
        <v>592</v>
      </c>
      <c r="V731" s="11" t="s">
        <v>593</v>
      </c>
      <c r="W731" s="11"/>
      <c r="X731" s="9" t="s">
        <v>1338</v>
      </c>
      <c r="Y731" s="9"/>
      <c r="Z731" s="8" t="s">
        <v>459</v>
      </c>
      <c r="AA731" s="9"/>
      <c r="AB731" s="9" t="s">
        <v>2347</v>
      </c>
      <c r="AC731" s="46" t="s">
        <v>2351</v>
      </c>
    </row>
    <row r="732" spans="1:29" ht="33.75" customHeight="1">
      <c r="A732" s="9"/>
      <c r="B732" s="8" t="s">
        <v>533</v>
      </c>
      <c r="C732" s="9">
        <v>562400</v>
      </c>
      <c r="D732" s="9">
        <v>293700</v>
      </c>
      <c r="E732" s="9" t="s">
        <v>2459</v>
      </c>
      <c r="F732" s="9">
        <v>52.516987649800001</v>
      </c>
      <c r="G732" s="9">
        <v>0.39195069719499998</v>
      </c>
      <c r="H732" s="9" t="s">
        <v>2289</v>
      </c>
      <c r="I732" s="8" t="s">
        <v>2290</v>
      </c>
      <c r="J732" s="9">
        <v>0</v>
      </c>
      <c r="K732" s="11"/>
      <c r="L732" s="11" t="s">
        <v>2</v>
      </c>
      <c r="M732" s="8" t="s">
        <v>592</v>
      </c>
      <c r="N732" s="8" t="s">
        <v>592</v>
      </c>
      <c r="O732" s="11" t="s">
        <v>592</v>
      </c>
      <c r="P732" s="22">
        <v>0</v>
      </c>
      <c r="Q732" s="12"/>
      <c r="R732" s="11" t="s">
        <v>599</v>
      </c>
      <c r="S732" s="8">
        <v>3</v>
      </c>
      <c r="T732" s="12"/>
      <c r="U732" s="11" t="s">
        <v>592</v>
      </c>
      <c r="V732" s="11" t="s">
        <v>593</v>
      </c>
      <c r="W732" s="11"/>
      <c r="X732" s="9" t="s">
        <v>1338</v>
      </c>
      <c r="Y732" s="9"/>
      <c r="Z732" s="8" t="s">
        <v>459</v>
      </c>
      <c r="AA732" s="9"/>
      <c r="AB732" s="9" t="s">
        <v>2347</v>
      </c>
      <c r="AC732" s="46" t="s">
        <v>2351</v>
      </c>
    </row>
    <row r="733" spans="1:29" ht="33.75" customHeight="1">
      <c r="A733" s="9"/>
      <c r="B733" s="8" t="s">
        <v>533</v>
      </c>
      <c r="C733" s="9">
        <v>564200</v>
      </c>
      <c r="D733" s="9">
        <v>275700</v>
      </c>
      <c r="E733" s="9" t="s">
        <v>2459</v>
      </c>
      <c r="F733" s="9">
        <v>52.354772086600001</v>
      </c>
      <c r="G733" s="9">
        <v>0.40961386203900002</v>
      </c>
      <c r="H733" s="9" t="s">
        <v>2291</v>
      </c>
      <c r="I733" s="8" t="s">
        <v>2292</v>
      </c>
      <c r="J733" s="9">
        <v>0</v>
      </c>
      <c r="K733" s="11"/>
      <c r="L733" s="11" t="s">
        <v>2</v>
      </c>
      <c r="M733" s="8" t="s">
        <v>592</v>
      </c>
      <c r="N733" s="8" t="s">
        <v>592</v>
      </c>
      <c r="O733" s="11" t="s">
        <v>592</v>
      </c>
      <c r="P733" s="22">
        <v>0</v>
      </c>
      <c r="Q733" s="12"/>
      <c r="R733" s="11" t="s">
        <v>599</v>
      </c>
      <c r="S733" s="8">
        <v>5</v>
      </c>
      <c r="T733" s="12"/>
      <c r="U733" s="11" t="s">
        <v>592</v>
      </c>
      <c r="V733" s="11" t="s">
        <v>593</v>
      </c>
      <c r="W733" s="11"/>
      <c r="X733" s="9" t="s">
        <v>1338</v>
      </c>
      <c r="Y733" s="9"/>
      <c r="Z733" s="8" t="s">
        <v>459</v>
      </c>
      <c r="AA733" s="9"/>
      <c r="AB733" s="9" t="s">
        <v>2347</v>
      </c>
      <c r="AC733" s="46" t="s">
        <v>2351</v>
      </c>
    </row>
    <row r="734" spans="1:29" ht="33.75" customHeight="1">
      <c r="A734" s="9"/>
      <c r="B734" s="8" t="s">
        <v>533</v>
      </c>
      <c r="C734" s="9">
        <v>553700</v>
      </c>
      <c r="D734" s="9">
        <v>276000</v>
      </c>
      <c r="E734" s="9" t="s">
        <v>2459</v>
      </c>
      <c r="F734" s="9">
        <v>52.360508832000001</v>
      </c>
      <c r="G734" s="9">
        <v>0.25570797780100002</v>
      </c>
      <c r="H734" s="9" t="s">
        <v>2293</v>
      </c>
      <c r="I734" s="8" t="s">
        <v>2294</v>
      </c>
      <c r="J734" s="9">
        <v>5</v>
      </c>
      <c r="K734" s="11"/>
      <c r="L734" s="11" t="s">
        <v>2</v>
      </c>
      <c r="M734" s="8" t="s">
        <v>592</v>
      </c>
      <c r="N734" s="8" t="s">
        <v>592</v>
      </c>
      <c r="O734" s="11" t="s">
        <v>592</v>
      </c>
      <c r="P734" s="22">
        <v>0</v>
      </c>
      <c r="Q734" s="12"/>
      <c r="R734" s="11" t="s">
        <v>599</v>
      </c>
      <c r="S734" s="8">
        <v>7</v>
      </c>
      <c r="T734" s="12"/>
      <c r="U734" s="11" t="s">
        <v>592</v>
      </c>
      <c r="V734" s="11" t="s">
        <v>593</v>
      </c>
      <c r="W734" s="11"/>
      <c r="X734" s="9" t="s">
        <v>1338</v>
      </c>
      <c r="Y734" s="9"/>
      <c r="Z734" s="8" t="s">
        <v>459</v>
      </c>
      <c r="AA734" s="9"/>
      <c r="AB734" s="9" t="s">
        <v>2347</v>
      </c>
      <c r="AC734" s="46" t="s">
        <v>2351</v>
      </c>
    </row>
    <row r="735" spans="1:29" ht="33.75" customHeight="1">
      <c r="A735" s="9"/>
      <c r="B735" s="8" t="s">
        <v>533</v>
      </c>
      <c r="C735" s="9">
        <v>566100</v>
      </c>
      <c r="D735" s="9">
        <v>278100</v>
      </c>
      <c r="E735" s="9" t="s">
        <v>2459</v>
      </c>
      <c r="F735" s="9">
        <v>52.375757002500002</v>
      </c>
      <c r="G735" s="9">
        <v>0.43867258796699998</v>
      </c>
      <c r="H735" s="9" t="s">
        <v>2295</v>
      </c>
      <c r="I735" s="8" t="s">
        <v>2296</v>
      </c>
      <c r="J735" s="9">
        <v>2</v>
      </c>
      <c r="K735" s="11"/>
      <c r="L735" s="11" t="s">
        <v>2</v>
      </c>
      <c r="M735" s="8" t="s">
        <v>592</v>
      </c>
      <c r="N735" s="8" t="s">
        <v>592</v>
      </c>
      <c r="O735" s="11" t="s">
        <v>592</v>
      </c>
      <c r="P735" s="22">
        <v>0</v>
      </c>
      <c r="Q735" s="12"/>
      <c r="R735" s="11" t="s">
        <v>599</v>
      </c>
      <c r="S735" s="8">
        <v>7</v>
      </c>
      <c r="T735" s="12"/>
      <c r="U735" s="11" t="s">
        <v>592</v>
      </c>
      <c r="V735" s="11" t="s">
        <v>593</v>
      </c>
      <c r="W735" s="11"/>
      <c r="X735" s="9" t="s">
        <v>1338</v>
      </c>
      <c r="Y735" s="9"/>
      <c r="Z735" s="8" t="s">
        <v>459</v>
      </c>
      <c r="AA735" s="9"/>
      <c r="AB735" s="9" t="s">
        <v>2347</v>
      </c>
      <c r="AC735" s="46" t="s">
        <v>2351</v>
      </c>
    </row>
    <row r="736" spans="1:29" ht="33.75" customHeight="1">
      <c r="A736" s="9"/>
      <c r="B736" s="8" t="s">
        <v>31</v>
      </c>
      <c r="C736" s="9">
        <v>559500</v>
      </c>
      <c r="D736" s="9">
        <v>314000</v>
      </c>
      <c r="E736" s="9" t="s">
        <v>2459</v>
      </c>
      <c r="F736" s="9">
        <v>52.700181278300001</v>
      </c>
      <c r="G736" s="9">
        <v>0.35903331537599997</v>
      </c>
      <c r="H736" s="9" t="s">
        <v>2259</v>
      </c>
      <c r="I736" s="8" t="s">
        <v>2260</v>
      </c>
      <c r="J736" s="9">
        <v>2</v>
      </c>
      <c r="K736" s="11"/>
      <c r="L736" s="11" t="s">
        <v>2</v>
      </c>
      <c r="M736" s="8" t="s">
        <v>592</v>
      </c>
      <c r="N736" s="8" t="s">
        <v>592</v>
      </c>
      <c r="O736" s="11" t="s">
        <v>592</v>
      </c>
      <c r="P736" s="22">
        <v>0</v>
      </c>
      <c r="Q736" s="12"/>
      <c r="R736" s="11" t="s">
        <v>599</v>
      </c>
      <c r="S736" s="8">
        <v>12</v>
      </c>
      <c r="T736" s="12"/>
      <c r="U736" s="11" t="s">
        <v>592</v>
      </c>
      <c r="V736" s="11" t="s">
        <v>593</v>
      </c>
      <c r="W736" s="11"/>
      <c r="X736" s="9" t="s">
        <v>1338</v>
      </c>
      <c r="Y736" s="9"/>
      <c r="Z736" s="8" t="s">
        <v>459</v>
      </c>
      <c r="AA736" s="9"/>
      <c r="AB736" s="9" t="s">
        <v>2347</v>
      </c>
      <c r="AC736" s="46" t="s">
        <v>2351</v>
      </c>
    </row>
    <row r="737" spans="1:29" ht="33.75" customHeight="1">
      <c r="A737" s="9"/>
      <c r="B737" s="8" t="s">
        <v>22</v>
      </c>
      <c r="C737" s="9">
        <v>557400</v>
      </c>
      <c r="D737" s="9">
        <v>368600</v>
      </c>
      <c r="E737" s="9" t="s">
        <v>2459</v>
      </c>
      <c r="F737" s="9">
        <v>53.191198157800002</v>
      </c>
      <c r="G737" s="9">
        <v>0.35447061778799999</v>
      </c>
      <c r="H737" s="9" t="s">
        <v>2297</v>
      </c>
      <c r="I737" s="8" t="s">
        <v>1147</v>
      </c>
      <c r="J737" s="9">
        <v>0</v>
      </c>
      <c r="K737" s="11"/>
      <c r="L737" s="11" t="s">
        <v>2</v>
      </c>
      <c r="M737" s="8" t="s">
        <v>592</v>
      </c>
      <c r="N737" s="8" t="s">
        <v>592</v>
      </c>
      <c r="O737" s="11" t="s">
        <v>592</v>
      </c>
      <c r="P737" s="22">
        <v>0</v>
      </c>
      <c r="Q737" s="12"/>
      <c r="R737" s="11" t="s">
        <v>599</v>
      </c>
      <c r="S737" s="8">
        <v>7</v>
      </c>
      <c r="T737" s="12"/>
      <c r="U737" s="11" t="s">
        <v>592</v>
      </c>
      <c r="V737" s="11" t="s">
        <v>593</v>
      </c>
      <c r="W737" s="11"/>
      <c r="X737" s="9" t="s">
        <v>1338</v>
      </c>
      <c r="Y737" s="9"/>
      <c r="Z737" s="8" t="s">
        <v>459</v>
      </c>
      <c r="AA737" s="9"/>
      <c r="AB737" s="9" t="s">
        <v>2347</v>
      </c>
      <c r="AC737" s="46" t="s">
        <v>2351</v>
      </c>
    </row>
    <row r="738" spans="1:29" ht="33.75" customHeight="1">
      <c r="A738" s="9"/>
      <c r="B738" s="8" t="s">
        <v>31</v>
      </c>
      <c r="C738" s="9">
        <v>579200</v>
      </c>
      <c r="D738" s="9">
        <v>344400</v>
      </c>
      <c r="E738" s="9" t="s">
        <v>2459</v>
      </c>
      <c r="F738" s="9">
        <v>52.967009976100002</v>
      </c>
      <c r="G738" s="9">
        <v>0.66693205636399999</v>
      </c>
      <c r="H738" s="9" t="s">
        <v>2298</v>
      </c>
      <c r="I738" s="8" t="s">
        <v>2299</v>
      </c>
      <c r="J738" s="9">
        <v>0</v>
      </c>
      <c r="K738" s="11"/>
      <c r="L738" s="11" t="s">
        <v>2</v>
      </c>
      <c r="M738" s="8" t="s">
        <v>592</v>
      </c>
      <c r="N738" s="8" t="s">
        <v>592</v>
      </c>
      <c r="O738" s="11" t="s">
        <v>592</v>
      </c>
      <c r="P738" s="22">
        <v>0</v>
      </c>
      <c r="Q738" s="12"/>
      <c r="R738" s="11" t="s">
        <v>237</v>
      </c>
      <c r="S738" s="8">
        <v>12</v>
      </c>
      <c r="T738" s="12"/>
      <c r="U738" s="11" t="s">
        <v>592</v>
      </c>
      <c r="V738" s="11" t="s">
        <v>593</v>
      </c>
      <c r="W738" s="11"/>
      <c r="X738" s="9" t="s">
        <v>1338</v>
      </c>
      <c r="Y738" s="9"/>
      <c r="Z738" s="8" t="s">
        <v>459</v>
      </c>
      <c r="AA738" s="9"/>
      <c r="AB738" s="9" t="s">
        <v>2347</v>
      </c>
      <c r="AC738" s="46" t="s">
        <v>2351</v>
      </c>
    </row>
    <row r="739" spans="1:29" ht="33.75" customHeight="1">
      <c r="A739" s="9"/>
      <c r="B739" s="8" t="s">
        <v>778</v>
      </c>
      <c r="C739" s="9">
        <v>537800</v>
      </c>
      <c r="D739" s="9">
        <v>206800</v>
      </c>
      <c r="E739" s="9" t="s">
        <v>2459</v>
      </c>
      <c r="F739" s="9">
        <v>51.742965447700001</v>
      </c>
      <c r="G739" s="9">
        <v>-5.5091990789200001E-3</v>
      </c>
      <c r="H739" s="9" t="s">
        <v>2300</v>
      </c>
      <c r="I739" s="8" t="s">
        <v>2301</v>
      </c>
      <c r="J739" s="9">
        <v>25</v>
      </c>
      <c r="K739" s="11"/>
      <c r="L739" s="11" t="s">
        <v>2</v>
      </c>
      <c r="M739" s="8" t="s">
        <v>592</v>
      </c>
      <c r="N739" s="8" t="s">
        <v>592</v>
      </c>
      <c r="O739" s="11" t="s">
        <v>592</v>
      </c>
      <c r="P739" s="22">
        <v>0</v>
      </c>
      <c r="Q739" s="12"/>
      <c r="R739" s="11" t="s">
        <v>237</v>
      </c>
      <c r="S739" s="8">
        <v>9</v>
      </c>
      <c r="T739" s="12"/>
      <c r="U739" s="11" t="s">
        <v>592</v>
      </c>
      <c r="V739" s="11" t="s">
        <v>593</v>
      </c>
      <c r="W739" s="11"/>
      <c r="X739" s="9" t="s">
        <v>1338</v>
      </c>
      <c r="Y739" s="9"/>
      <c r="Z739" s="8" t="s">
        <v>459</v>
      </c>
      <c r="AA739" s="9"/>
      <c r="AB739" s="9" t="s">
        <v>2347</v>
      </c>
      <c r="AC739" s="46" t="s">
        <v>2351</v>
      </c>
    </row>
    <row r="740" spans="1:29" ht="33.75" customHeight="1">
      <c r="A740" s="9"/>
      <c r="B740" s="8" t="s">
        <v>31</v>
      </c>
      <c r="C740" s="9">
        <v>593200</v>
      </c>
      <c r="D740" s="9">
        <v>293700</v>
      </c>
      <c r="E740" s="9" t="s">
        <v>2568</v>
      </c>
      <c r="F740" s="9">
        <v>52.506950760099997</v>
      </c>
      <c r="G740" s="9">
        <v>0.84530797674299996</v>
      </c>
      <c r="H740" s="9" t="s">
        <v>2302</v>
      </c>
      <c r="I740" s="8" t="s">
        <v>2303</v>
      </c>
      <c r="J740" s="9">
        <v>33</v>
      </c>
      <c r="K740" s="11" t="s">
        <v>2304</v>
      </c>
      <c r="L740" s="11" t="s">
        <v>2</v>
      </c>
      <c r="M740" s="8" t="s">
        <v>592</v>
      </c>
      <c r="N740" s="8" t="s">
        <v>592</v>
      </c>
      <c r="O740" s="11" t="s">
        <v>592</v>
      </c>
      <c r="P740" s="22">
        <v>1</v>
      </c>
      <c r="Q740" s="12"/>
      <c r="R740" s="11" t="s">
        <v>599</v>
      </c>
      <c r="S740" s="8">
        <v>87</v>
      </c>
      <c r="T740" s="12"/>
      <c r="U740" s="11" t="s">
        <v>592</v>
      </c>
      <c r="V740" s="11" t="s">
        <v>594</v>
      </c>
      <c r="W740" s="11"/>
      <c r="X740" s="9" t="s">
        <v>1338</v>
      </c>
      <c r="Y740" s="9"/>
      <c r="Z740" s="8" t="s">
        <v>460</v>
      </c>
      <c r="AA740" s="9"/>
      <c r="AB740" s="9" t="s">
        <v>2347</v>
      </c>
      <c r="AC740" s="46" t="s">
        <v>2351</v>
      </c>
    </row>
    <row r="741" spans="1:29" ht="33.75" customHeight="1">
      <c r="A741" s="9"/>
      <c r="B741" s="8" t="s">
        <v>31</v>
      </c>
      <c r="C741" s="9">
        <v>593400</v>
      </c>
      <c r="D741" s="9">
        <v>293700</v>
      </c>
      <c r="E741" s="9" t="s">
        <v>2568</v>
      </c>
      <c r="F741" s="9">
        <v>52.506879916199999</v>
      </c>
      <c r="G741" s="9">
        <v>0.848250955674</v>
      </c>
      <c r="H741" s="9" t="s">
        <v>2305</v>
      </c>
      <c r="I741" s="8" t="s">
        <v>2306</v>
      </c>
      <c r="J741" s="9">
        <v>33</v>
      </c>
      <c r="K741" s="11" t="s">
        <v>2307</v>
      </c>
      <c r="L741" s="11" t="s">
        <v>2</v>
      </c>
      <c r="M741" s="8" t="s">
        <v>592</v>
      </c>
      <c r="N741" s="8" t="s">
        <v>592</v>
      </c>
      <c r="O741" s="11" t="s">
        <v>592</v>
      </c>
      <c r="P741" s="22">
        <v>0</v>
      </c>
      <c r="Q741" s="12"/>
      <c r="R741" s="11" t="s">
        <v>599</v>
      </c>
      <c r="S741" s="8">
        <v>56</v>
      </c>
      <c r="T741" s="12"/>
      <c r="U741" s="11" t="s">
        <v>592</v>
      </c>
      <c r="V741" s="11" t="s">
        <v>594</v>
      </c>
      <c r="W741" s="11"/>
      <c r="X741" s="9" t="s">
        <v>1338</v>
      </c>
      <c r="Y741" s="9"/>
      <c r="Z741" s="8" t="s">
        <v>460</v>
      </c>
      <c r="AA741" s="9"/>
      <c r="AB741" s="9" t="s">
        <v>2347</v>
      </c>
      <c r="AC741" s="46" t="s">
        <v>2351</v>
      </c>
    </row>
    <row r="742" spans="1:29" ht="33.75" customHeight="1">
      <c r="A742" s="9"/>
      <c r="B742" s="8" t="s">
        <v>31</v>
      </c>
      <c r="C742" s="9">
        <v>604900</v>
      </c>
      <c r="D742" s="9">
        <v>292100</v>
      </c>
      <c r="E742" s="9" t="s">
        <v>2569</v>
      </c>
      <c r="F742" s="9">
        <v>52.488319494199999</v>
      </c>
      <c r="G742" s="9">
        <v>1.01646733056</v>
      </c>
      <c r="H742" s="9" t="s">
        <v>1336</v>
      </c>
      <c r="I742" s="8" t="s">
        <v>2308</v>
      </c>
      <c r="J742" s="9">
        <v>29</v>
      </c>
      <c r="K742" s="11">
        <v>1</v>
      </c>
      <c r="L742" s="11" t="s">
        <v>2</v>
      </c>
      <c r="M742" s="8" t="s">
        <v>592</v>
      </c>
      <c r="N742" s="8" t="s">
        <v>592</v>
      </c>
      <c r="O742" s="11" t="s">
        <v>592</v>
      </c>
      <c r="P742" s="22">
        <v>0</v>
      </c>
      <c r="Q742" s="12"/>
      <c r="R742" s="11" t="s">
        <v>599</v>
      </c>
      <c r="S742" s="8">
        <v>18</v>
      </c>
      <c r="T742" s="12"/>
      <c r="U742" s="11" t="s">
        <v>592</v>
      </c>
      <c r="V742" s="11" t="s">
        <v>593</v>
      </c>
      <c r="W742" s="11"/>
      <c r="X742" s="9" t="s">
        <v>1338</v>
      </c>
      <c r="Y742" s="9"/>
      <c r="Z742" s="8" t="s">
        <v>462</v>
      </c>
      <c r="AA742" s="9"/>
      <c r="AB742" s="9" t="s">
        <v>2347</v>
      </c>
      <c r="AC742" s="46" t="s">
        <v>2351</v>
      </c>
    </row>
    <row r="743" spans="1:29" ht="33.75" customHeight="1">
      <c r="A743" s="9"/>
      <c r="B743" s="8" t="s">
        <v>31</v>
      </c>
      <c r="C743" s="9">
        <v>605000</v>
      </c>
      <c r="D743" s="9">
        <v>292100</v>
      </c>
      <c r="E743" s="9" t="s">
        <v>2569</v>
      </c>
      <c r="F743" s="9">
        <v>52.488281962599999</v>
      </c>
      <c r="G743" s="9">
        <v>1.0179379744799999</v>
      </c>
      <c r="H743" s="9" t="s">
        <v>1336</v>
      </c>
      <c r="I743" s="8" t="s">
        <v>1337</v>
      </c>
      <c r="J743" s="9">
        <v>29</v>
      </c>
      <c r="K743" s="11">
        <v>2</v>
      </c>
      <c r="L743" s="11" t="s">
        <v>2</v>
      </c>
      <c r="M743" s="8" t="s">
        <v>592</v>
      </c>
      <c r="N743" s="8" t="s">
        <v>592</v>
      </c>
      <c r="O743" s="11" t="s">
        <v>592</v>
      </c>
      <c r="P743" s="22">
        <v>0</v>
      </c>
      <c r="Q743" s="12"/>
      <c r="R743" s="11" t="s">
        <v>599</v>
      </c>
      <c r="S743" s="8">
        <v>71</v>
      </c>
      <c r="T743" s="12"/>
      <c r="U743" s="11" t="s">
        <v>592</v>
      </c>
      <c r="V743" s="11" t="s">
        <v>593</v>
      </c>
      <c r="W743" s="11"/>
      <c r="X743" s="9" t="s">
        <v>1338</v>
      </c>
      <c r="Y743" s="9"/>
      <c r="Z743" s="8" t="s">
        <v>462</v>
      </c>
      <c r="AA743" s="9"/>
      <c r="AB743" s="9" t="s">
        <v>2347</v>
      </c>
      <c r="AC743" s="46" t="s">
        <v>2351</v>
      </c>
    </row>
    <row r="744" spans="1:29" ht="33.75" customHeight="1">
      <c r="A744" s="9"/>
      <c r="B744" s="8" t="s">
        <v>31</v>
      </c>
      <c r="C744" s="9">
        <v>603800</v>
      </c>
      <c r="D744" s="9">
        <v>301200</v>
      </c>
      <c r="E744" s="9" t="s">
        <v>2570</v>
      </c>
      <c r="F744" s="9">
        <v>52.570426627000003</v>
      </c>
      <c r="G744" s="9">
        <v>1.0058670574399999</v>
      </c>
      <c r="H744" s="9" t="s">
        <v>2309</v>
      </c>
      <c r="I744" s="8" t="s">
        <v>537</v>
      </c>
      <c r="J744" s="9">
        <v>38</v>
      </c>
      <c r="K744" s="11"/>
      <c r="L744" s="11" t="s">
        <v>2</v>
      </c>
      <c r="M744" s="8" t="s">
        <v>592</v>
      </c>
      <c r="N744" s="8" t="s">
        <v>592</v>
      </c>
      <c r="O744" s="11" t="s">
        <v>592</v>
      </c>
      <c r="P744" s="22">
        <v>0</v>
      </c>
      <c r="Q744" s="12"/>
      <c r="R744" s="11" t="s">
        <v>599</v>
      </c>
      <c r="S744" s="8">
        <v>71</v>
      </c>
      <c r="T744" s="12"/>
      <c r="U744" s="11" t="s">
        <v>592</v>
      </c>
      <c r="V744" s="11" t="s">
        <v>594</v>
      </c>
      <c r="W744" s="11"/>
      <c r="X744" s="9" t="s">
        <v>1338</v>
      </c>
      <c r="Y744" s="9"/>
      <c r="Z744" s="8" t="s">
        <v>464</v>
      </c>
      <c r="AA744" s="9"/>
      <c r="AB744" s="9" t="s">
        <v>2347</v>
      </c>
      <c r="AC744" s="46" t="s">
        <v>2351</v>
      </c>
    </row>
    <row r="745" spans="1:29" ht="33.75" customHeight="1">
      <c r="A745" s="9"/>
      <c r="B745" s="8" t="s">
        <v>31</v>
      </c>
      <c r="C745" s="9">
        <v>604100</v>
      </c>
      <c r="D745" s="9">
        <v>287500</v>
      </c>
      <c r="E745" s="9" t="s">
        <v>2571</v>
      </c>
      <c r="F745" s="9">
        <v>52.4473220434</v>
      </c>
      <c r="G745" s="9">
        <v>1.0018889651</v>
      </c>
      <c r="H745" s="9" t="s">
        <v>2310</v>
      </c>
      <c r="I745" s="8" t="s">
        <v>2238</v>
      </c>
      <c r="J745" s="9">
        <v>25</v>
      </c>
      <c r="K745" s="11"/>
      <c r="L745" s="11" t="s">
        <v>2311</v>
      </c>
      <c r="M745" s="8">
        <v>12881</v>
      </c>
      <c r="N745" s="8">
        <v>8185</v>
      </c>
      <c r="O745" s="11">
        <f>M745-N745</f>
        <v>4696</v>
      </c>
      <c r="P745" s="22">
        <v>7</v>
      </c>
      <c r="Q745" s="12">
        <f>P745/O745*1000</f>
        <v>1.4906303236797276</v>
      </c>
      <c r="R745" s="11" t="s">
        <v>599</v>
      </c>
      <c r="S745" s="8">
        <v>70</v>
      </c>
      <c r="T745" s="12">
        <f>S745*1000/O745</f>
        <v>14.906303236797275</v>
      </c>
      <c r="U745" s="11" t="s">
        <v>592</v>
      </c>
      <c r="V745" s="11" t="s">
        <v>593</v>
      </c>
      <c r="W745" s="11"/>
      <c r="X745" s="9" t="s">
        <v>1338</v>
      </c>
      <c r="Y745" s="9"/>
      <c r="Z745" s="8" t="s">
        <v>2312</v>
      </c>
      <c r="AA745" s="9"/>
      <c r="AB745" s="9" t="s">
        <v>2347</v>
      </c>
      <c r="AC745" s="46" t="s">
        <v>2351</v>
      </c>
    </row>
    <row r="746" spans="1:29" ht="33.75" customHeight="1">
      <c r="A746" s="9">
        <v>58</v>
      </c>
      <c r="B746" s="8" t="s">
        <v>31</v>
      </c>
      <c r="C746" s="9">
        <v>611610</v>
      </c>
      <c r="D746" s="9">
        <v>279822</v>
      </c>
      <c r="E746" s="9" t="s">
        <v>601</v>
      </c>
      <c r="F746" s="9">
        <v>52.375543836600002</v>
      </c>
      <c r="G746" s="9">
        <v>1.1073725276099999</v>
      </c>
      <c r="H746" s="9" t="s">
        <v>315</v>
      </c>
      <c r="I746" s="8" t="s">
        <v>232</v>
      </c>
      <c r="J746" s="9">
        <v>31</v>
      </c>
      <c r="K746" s="11" t="s">
        <v>43</v>
      </c>
      <c r="L746" s="11" t="s">
        <v>2</v>
      </c>
      <c r="M746" s="8" t="s">
        <v>592</v>
      </c>
      <c r="N746" s="8" t="s">
        <v>592</v>
      </c>
      <c r="O746" s="11" t="s">
        <v>592</v>
      </c>
      <c r="P746" s="22">
        <v>0</v>
      </c>
      <c r="Q746" s="12"/>
      <c r="R746" s="11" t="s">
        <v>599</v>
      </c>
      <c r="S746" s="8">
        <v>181</v>
      </c>
      <c r="T746" s="12"/>
      <c r="U746" s="11" t="s">
        <v>592</v>
      </c>
      <c r="V746" s="11" t="s">
        <v>593</v>
      </c>
      <c r="W746" s="11" t="s">
        <v>36</v>
      </c>
      <c r="X746" s="9" t="s">
        <v>233</v>
      </c>
      <c r="Y746" s="9" t="s">
        <v>100</v>
      </c>
      <c r="Z746" s="8" t="s">
        <v>602</v>
      </c>
      <c r="AA746" s="9"/>
      <c r="AB746" s="9" t="s">
        <v>2347</v>
      </c>
      <c r="AC746" s="46" t="s">
        <v>2351</v>
      </c>
    </row>
    <row r="747" spans="1:29" ht="33.75" customHeight="1">
      <c r="A747" s="9"/>
      <c r="B747" s="8" t="s">
        <v>31</v>
      </c>
      <c r="C747" s="9">
        <v>611610</v>
      </c>
      <c r="D747" s="9">
        <v>279722</v>
      </c>
      <c r="E747" s="9" t="s">
        <v>2572</v>
      </c>
      <c r="F747" s="9">
        <v>52.374646147699998</v>
      </c>
      <c r="G747" s="9">
        <v>1.10730946808</v>
      </c>
      <c r="H747" s="9" t="s">
        <v>2313</v>
      </c>
      <c r="I747" s="8" t="s">
        <v>232</v>
      </c>
      <c r="J747" s="9">
        <v>31</v>
      </c>
      <c r="K747" s="11"/>
      <c r="L747" s="11" t="s">
        <v>2</v>
      </c>
      <c r="M747" s="8" t="s">
        <v>592</v>
      </c>
      <c r="N747" s="8" t="s">
        <v>592</v>
      </c>
      <c r="O747" s="11" t="s">
        <v>592</v>
      </c>
      <c r="P747" s="22">
        <v>0</v>
      </c>
      <c r="Q747" s="12"/>
      <c r="R747" s="11" t="s">
        <v>599</v>
      </c>
      <c r="S747" s="8">
        <v>113</v>
      </c>
      <c r="T747" s="12"/>
      <c r="U747" s="11">
        <v>962</v>
      </c>
      <c r="V747" s="11" t="s">
        <v>594</v>
      </c>
      <c r="W747" s="11"/>
      <c r="X747" s="9" t="s">
        <v>1338</v>
      </c>
      <c r="Y747" s="9"/>
      <c r="Z747" s="8" t="s">
        <v>467</v>
      </c>
      <c r="AA747" s="9"/>
      <c r="AB747" s="9" t="s">
        <v>2347</v>
      </c>
      <c r="AC747" s="46" t="s">
        <v>2351</v>
      </c>
    </row>
    <row r="748" spans="1:29" ht="33.75" customHeight="1">
      <c r="A748" s="9"/>
      <c r="B748" s="8" t="s">
        <v>31</v>
      </c>
      <c r="C748" s="9">
        <v>604100</v>
      </c>
      <c r="D748" s="9">
        <v>287600</v>
      </c>
      <c r="E748" s="9" t="s">
        <v>2573</v>
      </c>
      <c r="F748" s="9">
        <v>52.448219809500003</v>
      </c>
      <c r="G748" s="9">
        <v>1.00195004688</v>
      </c>
      <c r="H748" s="9" t="s">
        <v>2314</v>
      </c>
      <c r="I748" s="8" t="s">
        <v>2238</v>
      </c>
      <c r="J748" s="9">
        <v>25</v>
      </c>
      <c r="K748" s="11"/>
      <c r="L748" s="11" t="s">
        <v>2</v>
      </c>
      <c r="M748" s="8" t="s">
        <v>592</v>
      </c>
      <c r="N748" s="8" t="s">
        <v>592</v>
      </c>
      <c r="O748" s="11" t="s">
        <v>592</v>
      </c>
      <c r="P748" s="22">
        <v>0</v>
      </c>
      <c r="Q748" s="12"/>
      <c r="R748" s="11" t="s">
        <v>599</v>
      </c>
      <c r="S748" s="8">
        <v>64</v>
      </c>
      <c r="T748" s="12"/>
      <c r="U748" s="11">
        <v>1000</v>
      </c>
      <c r="V748" s="11" t="s">
        <v>594</v>
      </c>
      <c r="W748" s="11"/>
      <c r="X748" s="9" t="s">
        <v>1338</v>
      </c>
      <c r="Y748" s="9"/>
      <c r="Z748" s="8" t="s">
        <v>2315</v>
      </c>
      <c r="AA748" s="9"/>
      <c r="AB748" s="9" t="s">
        <v>2347</v>
      </c>
      <c r="AC748" s="46" t="s">
        <v>2351</v>
      </c>
    </row>
    <row r="749" spans="1:29" ht="33.75" customHeight="1">
      <c r="A749" s="9"/>
      <c r="B749" s="8" t="s">
        <v>31</v>
      </c>
      <c r="C749" s="9">
        <v>604200</v>
      </c>
      <c r="D749" s="9">
        <v>279300</v>
      </c>
      <c r="E749" s="9" t="s">
        <v>2574</v>
      </c>
      <c r="F749" s="9">
        <v>52.373667355599999</v>
      </c>
      <c r="G749" s="9">
        <v>0.99835805497800001</v>
      </c>
      <c r="H749" s="9" t="s">
        <v>2316</v>
      </c>
      <c r="I749" s="8" t="s">
        <v>2317</v>
      </c>
      <c r="J749" s="9">
        <v>25</v>
      </c>
      <c r="K749" s="11"/>
      <c r="L749" s="11" t="s">
        <v>2</v>
      </c>
      <c r="M749" s="8" t="s">
        <v>592</v>
      </c>
      <c r="N749" s="8" t="s">
        <v>592</v>
      </c>
      <c r="O749" s="11" t="s">
        <v>592</v>
      </c>
      <c r="P749" s="22">
        <v>0</v>
      </c>
      <c r="Q749" s="12"/>
      <c r="R749" s="11" t="s">
        <v>599</v>
      </c>
      <c r="S749" s="8">
        <v>14</v>
      </c>
      <c r="T749" s="12"/>
      <c r="U749" s="11" t="s">
        <v>592</v>
      </c>
      <c r="V749" s="11" t="s">
        <v>593</v>
      </c>
      <c r="W749" s="11"/>
      <c r="X749" s="9" t="s">
        <v>1338</v>
      </c>
      <c r="Y749" s="9"/>
      <c r="Z749" s="8" t="s">
        <v>480</v>
      </c>
      <c r="AA749" s="9"/>
      <c r="AB749" s="9" t="s">
        <v>2347</v>
      </c>
      <c r="AC749" s="46" t="s">
        <v>2351</v>
      </c>
    </row>
    <row r="750" spans="1:29" ht="33.75" customHeight="1">
      <c r="A750" s="9">
        <v>84</v>
      </c>
      <c r="B750" s="8" t="s">
        <v>398</v>
      </c>
      <c r="C750" s="9">
        <v>593400</v>
      </c>
      <c r="D750" s="9">
        <v>257600</v>
      </c>
      <c r="E750" s="9" t="s">
        <v>606</v>
      </c>
      <c r="F750" s="9">
        <v>52.1827332923</v>
      </c>
      <c r="G750" s="9">
        <v>0.82748175279400005</v>
      </c>
      <c r="H750" s="9" t="s">
        <v>607</v>
      </c>
      <c r="I750" s="8" t="s">
        <v>397</v>
      </c>
      <c r="J750" s="9">
        <v>90</v>
      </c>
      <c r="K750" s="11" t="s">
        <v>43</v>
      </c>
      <c r="L750" s="11" t="s">
        <v>2</v>
      </c>
      <c r="M750" s="8">
        <v>125</v>
      </c>
      <c r="N750" s="8">
        <v>0</v>
      </c>
      <c r="O750" s="11">
        <f>M750-N750</f>
        <v>125</v>
      </c>
      <c r="P750" s="22">
        <v>15</v>
      </c>
      <c r="Q750" s="12">
        <f>P750/O750*1000</f>
        <v>120</v>
      </c>
      <c r="R750" s="11" t="s">
        <v>599</v>
      </c>
      <c r="S750" s="8">
        <v>38</v>
      </c>
      <c r="T750" s="12">
        <f>S750*1000/O750</f>
        <v>304</v>
      </c>
      <c r="U750" s="11" t="s">
        <v>592</v>
      </c>
      <c r="V750" s="11" t="s">
        <v>594</v>
      </c>
      <c r="W750" s="11" t="s">
        <v>400</v>
      </c>
      <c r="X750" s="9" t="s">
        <v>401</v>
      </c>
      <c r="Y750" s="9" t="s">
        <v>100</v>
      </c>
      <c r="Z750" s="8" t="s">
        <v>402</v>
      </c>
      <c r="AA750" s="9"/>
      <c r="AB750" s="9" t="s">
        <v>2347</v>
      </c>
      <c r="AC750" s="46" t="s">
        <v>2351</v>
      </c>
    </row>
    <row r="751" spans="1:29" ht="33.75" customHeight="1">
      <c r="A751" s="9">
        <v>84</v>
      </c>
      <c r="B751" s="8" t="s">
        <v>533</v>
      </c>
      <c r="C751" s="9">
        <v>529100</v>
      </c>
      <c r="D751" s="9">
        <v>252900</v>
      </c>
      <c r="E751" s="9" t="s">
        <v>606</v>
      </c>
      <c r="F751" s="9">
        <v>52.159287238799998</v>
      </c>
      <c r="G751" s="9">
        <v>-0.114143767509</v>
      </c>
      <c r="H751" s="9" t="s">
        <v>2318</v>
      </c>
      <c r="I751" s="8" t="s">
        <v>2319</v>
      </c>
      <c r="J751" s="9">
        <v>80</v>
      </c>
      <c r="K751" s="11"/>
      <c r="L751" s="11" t="s">
        <v>2</v>
      </c>
      <c r="M751" s="8">
        <v>105</v>
      </c>
      <c r="N751" s="8">
        <v>0</v>
      </c>
      <c r="O751" s="11">
        <f>M751-N751</f>
        <v>105</v>
      </c>
      <c r="P751" s="22">
        <v>17</v>
      </c>
      <c r="Q751" s="12">
        <f>P751/O751*1000</f>
        <v>161.90476190476193</v>
      </c>
      <c r="R751" s="11" t="s">
        <v>599</v>
      </c>
      <c r="S751" s="8">
        <v>48</v>
      </c>
      <c r="T751" s="12">
        <f>S751*1000/O751</f>
        <v>457.14285714285717</v>
      </c>
      <c r="U751" s="11" t="s">
        <v>592</v>
      </c>
      <c r="V751" s="11" t="s">
        <v>594</v>
      </c>
      <c r="W751" s="11" t="s">
        <v>400</v>
      </c>
      <c r="X751" s="9" t="s">
        <v>401</v>
      </c>
      <c r="Y751" s="9" t="s">
        <v>100</v>
      </c>
      <c r="Z751" s="8" t="s">
        <v>402</v>
      </c>
      <c r="AA751" s="9"/>
      <c r="AB751" s="9" t="s">
        <v>2347</v>
      </c>
      <c r="AC751" s="46" t="s">
        <v>2351</v>
      </c>
    </row>
    <row r="752" spans="1:29" ht="33.75" customHeight="1">
      <c r="A752" s="9">
        <v>84</v>
      </c>
      <c r="B752" s="8" t="s">
        <v>399</v>
      </c>
      <c r="C752" s="9">
        <v>587600</v>
      </c>
      <c r="D752" s="9">
        <v>227900</v>
      </c>
      <c r="E752" s="9" t="s">
        <v>606</v>
      </c>
      <c r="F752" s="9">
        <v>51.918017735900001</v>
      </c>
      <c r="G752" s="9">
        <v>0.72645808812699997</v>
      </c>
      <c r="H752" s="9" t="s">
        <v>608</v>
      </c>
      <c r="I752" s="8" t="s">
        <v>609</v>
      </c>
      <c r="J752" s="9">
        <v>53</v>
      </c>
      <c r="K752" s="11"/>
      <c r="L752" s="11" t="s">
        <v>2</v>
      </c>
      <c r="M752" s="8">
        <v>52</v>
      </c>
      <c r="N752" s="8">
        <v>0</v>
      </c>
      <c r="O752" s="11">
        <f>M752-N752</f>
        <v>52</v>
      </c>
      <c r="P752" s="22">
        <v>14</v>
      </c>
      <c r="Q752" s="12">
        <f>P752/O752*1000</f>
        <v>269.23076923076923</v>
      </c>
      <c r="R752" s="11" t="s">
        <v>599</v>
      </c>
      <c r="S752" s="8">
        <v>43</v>
      </c>
      <c r="T752" s="12">
        <f>S752*1000/O752</f>
        <v>826.92307692307691</v>
      </c>
      <c r="U752" s="11" t="s">
        <v>592</v>
      </c>
      <c r="V752" s="11" t="s">
        <v>594</v>
      </c>
      <c r="W752" s="11" t="s">
        <v>400</v>
      </c>
      <c r="X752" s="9" t="s">
        <v>401</v>
      </c>
      <c r="Y752" s="9" t="s">
        <v>100</v>
      </c>
      <c r="Z752" s="8" t="s">
        <v>402</v>
      </c>
      <c r="AA752" s="9"/>
      <c r="AB752" s="9" t="s">
        <v>2347</v>
      </c>
      <c r="AC752" s="46" t="s">
        <v>2351</v>
      </c>
    </row>
    <row r="753" spans="1:29" ht="33.75" customHeight="1">
      <c r="A753" s="9"/>
      <c r="B753" s="8" t="s">
        <v>504</v>
      </c>
      <c r="C753" s="9">
        <v>363200</v>
      </c>
      <c r="D753" s="9">
        <v>410000</v>
      </c>
      <c r="E753" s="9" t="s">
        <v>1744</v>
      </c>
      <c r="F753" s="9"/>
      <c r="G753" s="9"/>
      <c r="H753" s="9" t="s">
        <v>1745</v>
      </c>
      <c r="I753" s="8" t="s">
        <v>1241</v>
      </c>
      <c r="J753" s="9">
        <v>110</v>
      </c>
      <c r="K753" s="11"/>
      <c r="L753" s="11"/>
      <c r="M753" s="8">
        <v>12160</v>
      </c>
      <c r="N753" s="8">
        <v>9800</v>
      </c>
      <c r="O753" s="11">
        <f>M753-N753</f>
        <v>2360</v>
      </c>
      <c r="P753" s="22">
        <v>3</v>
      </c>
      <c r="Q753" s="12">
        <f>P753*1000/O753</f>
        <v>1.271186440677966</v>
      </c>
      <c r="R753" s="11" t="s">
        <v>237</v>
      </c>
      <c r="S753" s="8">
        <v>15</v>
      </c>
      <c r="T753" s="12">
        <f>S753/O753*1000</f>
        <v>6.3559322033898313</v>
      </c>
      <c r="U753" s="11"/>
      <c r="V753" s="11"/>
      <c r="W753" s="11" t="s">
        <v>1746</v>
      </c>
      <c r="X753" s="9"/>
      <c r="Y753" s="9"/>
      <c r="Z753" s="8" t="s">
        <v>1746</v>
      </c>
      <c r="AA753" s="9"/>
      <c r="AB753" s="9" t="s">
        <v>2346</v>
      </c>
      <c r="AC753" s="46" t="s">
        <v>2351</v>
      </c>
    </row>
    <row r="754" spans="1:29" ht="33.75" customHeight="1">
      <c r="A754" s="9"/>
      <c r="B754" s="8" t="s">
        <v>109</v>
      </c>
      <c r="C754" s="9">
        <v>335500</v>
      </c>
      <c r="D754" s="9">
        <v>482800</v>
      </c>
      <c r="E754" s="9" t="s">
        <v>2322</v>
      </c>
      <c r="F754" s="9"/>
      <c r="G754" s="9"/>
      <c r="H754" s="9" t="s">
        <v>2323</v>
      </c>
      <c r="I754" s="8" t="s">
        <v>1260</v>
      </c>
      <c r="J754" s="9">
        <v>160</v>
      </c>
      <c r="K754" s="11"/>
      <c r="L754" s="11"/>
      <c r="M754" s="8">
        <v>4137</v>
      </c>
      <c r="N754" s="8">
        <v>1204</v>
      </c>
      <c r="O754" s="11">
        <f>M754-N754</f>
        <v>2933</v>
      </c>
      <c r="P754" s="22">
        <v>12</v>
      </c>
      <c r="Q754" s="12">
        <f>P754*1000/O754</f>
        <v>4.0913740197749746</v>
      </c>
      <c r="R754" s="11" t="s">
        <v>599</v>
      </c>
      <c r="S754" s="8">
        <v>36</v>
      </c>
      <c r="T754" s="12">
        <f>S754/O754*1000</f>
        <v>12.274122059324924</v>
      </c>
      <c r="U754" s="11"/>
      <c r="V754" s="11"/>
      <c r="W754" s="11" t="s">
        <v>2324</v>
      </c>
      <c r="X754" s="9"/>
      <c r="Y754" s="9"/>
      <c r="Z754" s="8" t="s">
        <v>2324</v>
      </c>
      <c r="AA754" s="9"/>
      <c r="AB754" s="9" t="s">
        <v>2346</v>
      </c>
      <c r="AC754" s="46" t="s">
        <v>2351</v>
      </c>
    </row>
    <row r="755" spans="1:29" ht="33.75" customHeight="1">
      <c r="A755" s="9"/>
      <c r="B755" s="8" t="s">
        <v>504</v>
      </c>
      <c r="C755" s="9">
        <v>347700</v>
      </c>
      <c r="D755" s="9">
        <v>476800</v>
      </c>
      <c r="E755" s="9" t="s">
        <v>2325</v>
      </c>
      <c r="F755" s="9"/>
      <c r="G755" s="9"/>
      <c r="H755" s="9" t="s">
        <v>2326</v>
      </c>
      <c r="I755" s="8" t="s">
        <v>2327</v>
      </c>
      <c r="J755" s="9">
        <v>8</v>
      </c>
      <c r="K755" s="11"/>
      <c r="L755" s="11"/>
      <c r="M755" s="8" t="s">
        <v>592</v>
      </c>
      <c r="N755" s="8" t="s">
        <v>592</v>
      </c>
      <c r="O755" s="11" t="s">
        <v>592</v>
      </c>
      <c r="P755" s="22">
        <v>0</v>
      </c>
      <c r="Q755" s="12"/>
      <c r="R755" s="11" t="s">
        <v>599</v>
      </c>
      <c r="S755" s="8">
        <v>79</v>
      </c>
      <c r="T755" s="12"/>
      <c r="U755" s="11"/>
      <c r="V755" s="11"/>
      <c r="W755" s="11" t="s">
        <v>2328</v>
      </c>
      <c r="X755" s="9"/>
      <c r="Y755" s="9"/>
      <c r="Z755" s="8" t="s">
        <v>2328</v>
      </c>
      <c r="AA755" s="9"/>
      <c r="AB755" s="9" t="s">
        <v>2346</v>
      </c>
      <c r="AC755" s="46" t="s">
        <v>2351</v>
      </c>
    </row>
    <row r="756" spans="1:29" ht="33.75" customHeight="1">
      <c r="A756" s="9"/>
      <c r="B756" s="8" t="s">
        <v>109</v>
      </c>
      <c r="C756" s="9">
        <v>350400</v>
      </c>
      <c r="D756" s="9">
        <v>566700</v>
      </c>
      <c r="E756" s="9" t="s">
        <v>1966</v>
      </c>
      <c r="F756" s="9"/>
      <c r="G756" s="9"/>
      <c r="H756" s="9" t="s">
        <v>1942</v>
      </c>
      <c r="I756" s="8" t="s">
        <v>91</v>
      </c>
      <c r="J756" s="9">
        <v>100</v>
      </c>
      <c r="K756" s="11"/>
      <c r="L756" s="11"/>
      <c r="M756" s="8">
        <v>6645</v>
      </c>
      <c r="N756" s="8">
        <v>360</v>
      </c>
      <c r="O756" s="11">
        <f>M756-N756</f>
        <v>6285</v>
      </c>
      <c r="P756" s="22">
        <v>10</v>
      </c>
      <c r="Q756" s="12">
        <f>P756*1000/O756</f>
        <v>1.5910898965791567</v>
      </c>
      <c r="R756" s="11" t="s">
        <v>237</v>
      </c>
      <c r="S756" s="8">
        <v>155</v>
      </c>
      <c r="T756" s="12">
        <f>S756/O756*1000</f>
        <v>24.661893396976929</v>
      </c>
      <c r="U756" s="11"/>
      <c r="V756" s="11"/>
      <c r="W756" s="11" t="s">
        <v>1970</v>
      </c>
      <c r="X756" s="9"/>
      <c r="Y756" s="9"/>
      <c r="Z756" s="8" t="s">
        <v>1970</v>
      </c>
      <c r="AA756" s="9"/>
      <c r="AB756" s="9" t="s">
        <v>2346</v>
      </c>
      <c r="AC756" s="46" t="s">
        <v>2351</v>
      </c>
    </row>
    <row r="757" spans="1:29" ht="33.75" customHeight="1">
      <c r="A757" s="9"/>
      <c r="B757" s="8" t="s">
        <v>504</v>
      </c>
      <c r="C757" s="9">
        <v>347700</v>
      </c>
      <c r="D757" s="9">
        <v>476800</v>
      </c>
      <c r="E757" s="9" t="s">
        <v>2329</v>
      </c>
      <c r="F757" s="9"/>
      <c r="G757" s="9"/>
      <c r="H757" s="9" t="s">
        <v>2326</v>
      </c>
      <c r="I757" s="8" t="s">
        <v>2330</v>
      </c>
      <c r="J757" s="9">
        <v>8</v>
      </c>
      <c r="K757" s="11"/>
      <c r="L757" s="11"/>
      <c r="M757" s="8" t="s">
        <v>592</v>
      </c>
      <c r="N757" s="8" t="s">
        <v>592</v>
      </c>
      <c r="O757" s="11" t="s">
        <v>592</v>
      </c>
      <c r="P757" s="22">
        <v>0</v>
      </c>
      <c r="Q757" s="12"/>
      <c r="R757" s="11" t="s">
        <v>599</v>
      </c>
      <c r="S757" s="8">
        <v>90</v>
      </c>
      <c r="T757" s="12"/>
      <c r="U757" s="11"/>
      <c r="V757" s="11"/>
      <c r="W757" s="11" t="s">
        <v>2331</v>
      </c>
      <c r="X757" s="9"/>
      <c r="Y757" s="9"/>
      <c r="Z757" s="8" t="s">
        <v>2331</v>
      </c>
      <c r="AA757" s="9"/>
      <c r="AB757" s="9" t="s">
        <v>2346</v>
      </c>
      <c r="AC757" s="46" t="s">
        <v>2351</v>
      </c>
    </row>
    <row r="758" spans="1:29" ht="33.75" customHeight="1">
      <c r="A758" s="9"/>
      <c r="B758" s="8" t="s">
        <v>504</v>
      </c>
      <c r="C758" s="9">
        <v>348000</v>
      </c>
      <c r="D758" s="9">
        <v>476800</v>
      </c>
      <c r="E758" s="9" t="s">
        <v>2329</v>
      </c>
      <c r="F758" s="9"/>
      <c r="G758" s="9"/>
      <c r="H758" s="9" t="s">
        <v>2332</v>
      </c>
      <c r="I758" s="8" t="s">
        <v>2333</v>
      </c>
      <c r="J758" s="9">
        <v>9</v>
      </c>
      <c r="K758" s="11"/>
      <c r="L758" s="11"/>
      <c r="M758" s="8" t="s">
        <v>592</v>
      </c>
      <c r="N758" s="8" t="s">
        <v>592</v>
      </c>
      <c r="O758" s="11" t="s">
        <v>592</v>
      </c>
      <c r="P758" s="22">
        <v>0</v>
      </c>
      <c r="Q758" s="12"/>
      <c r="R758" s="11" t="s">
        <v>599</v>
      </c>
      <c r="S758" s="8">
        <v>83</v>
      </c>
      <c r="T758" s="12"/>
      <c r="U758" s="11"/>
      <c r="V758" s="11"/>
      <c r="W758" s="11" t="s">
        <v>2331</v>
      </c>
      <c r="X758" s="9"/>
      <c r="Y758" s="9"/>
      <c r="Z758" s="8" t="s">
        <v>2331</v>
      </c>
      <c r="AA758" s="9"/>
      <c r="AB758" s="9" t="s">
        <v>2346</v>
      </c>
      <c r="AC758" s="46" t="s">
        <v>2351</v>
      </c>
    </row>
    <row r="759" spans="1:29" ht="33.75" customHeight="1">
      <c r="A759" s="9"/>
      <c r="B759" s="8" t="s">
        <v>109</v>
      </c>
      <c r="C759" s="9">
        <v>327000</v>
      </c>
      <c r="D759" s="9">
        <v>474200</v>
      </c>
      <c r="E759" s="9" t="s">
        <v>2329</v>
      </c>
      <c r="F759" s="9"/>
      <c r="G759" s="9"/>
      <c r="H759" s="9" t="s">
        <v>2334</v>
      </c>
      <c r="I759" s="8" t="s">
        <v>532</v>
      </c>
      <c r="J759" s="9">
        <v>33</v>
      </c>
      <c r="K759" s="11"/>
      <c r="L759" s="11"/>
      <c r="M759" s="8" t="s">
        <v>592</v>
      </c>
      <c r="N759" s="8" t="s">
        <v>592</v>
      </c>
      <c r="O759" s="11" t="s">
        <v>592</v>
      </c>
      <c r="P759" s="22">
        <v>0</v>
      </c>
      <c r="Q759" s="12"/>
      <c r="R759" s="11" t="s">
        <v>599</v>
      </c>
      <c r="S759" s="8">
        <v>78</v>
      </c>
      <c r="T759" s="12"/>
      <c r="U759" s="11"/>
      <c r="V759" s="11"/>
      <c r="W759" s="11" t="s">
        <v>2331</v>
      </c>
      <c r="X759" s="9"/>
      <c r="Y759" s="9"/>
      <c r="Z759" s="8" t="s">
        <v>2331</v>
      </c>
      <c r="AA759" s="9"/>
      <c r="AB759" s="9" t="s">
        <v>2346</v>
      </c>
      <c r="AC759" s="46" t="s">
        <v>2351</v>
      </c>
    </row>
    <row r="760" spans="1:29" ht="33.75" customHeight="1">
      <c r="A760" s="9"/>
      <c r="B760" s="8" t="s">
        <v>109</v>
      </c>
      <c r="C760" s="9">
        <v>348900</v>
      </c>
      <c r="D760" s="9">
        <v>493800</v>
      </c>
      <c r="E760" s="9" t="s">
        <v>2329</v>
      </c>
      <c r="F760" s="9"/>
      <c r="G760" s="9"/>
      <c r="H760" s="9" t="s">
        <v>2335</v>
      </c>
      <c r="I760" s="8" t="s">
        <v>2336</v>
      </c>
      <c r="J760" s="9">
        <v>135</v>
      </c>
      <c r="K760" s="11"/>
      <c r="L760" s="11"/>
      <c r="M760" s="8" t="s">
        <v>592</v>
      </c>
      <c r="N760" s="8" t="s">
        <v>592</v>
      </c>
      <c r="O760" s="11" t="s">
        <v>592</v>
      </c>
      <c r="P760" s="22">
        <v>0</v>
      </c>
      <c r="Q760" s="12"/>
      <c r="R760" s="11" t="s">
        <v>599</v>
      </c>
      <c r="S760" s="8">
        <v>53</v>
      </c>
      <c r="T760" s="12"/>
      <c r="U760" s="11"/>
      <c r="V760" s="11"/>
      <c r="W760" s="11" t="s">
        <v>2331</v>
      </c>
      <c r="X760" s="9"/>
      <c r="Y760" s="9"/>
      <c r="Z760" s="8" t="s">
        <v>2331</v>
      </c>
      <c r="AA760" s="9"/>
      <c r="AB760" s="9" t="s">
        <v>2346</v>
      </c>
      <c r="AC760" s="46" t="s">
        <v>2351</v>
      </c>
    </row>
    <row r="761" spans="1:29" ht="33.75" customHeight="1">
      <c r="A761" s="9"/>
      <c r="B761" s="8" t="s">
        <v>109</v>
      </c>
      <c r="C761" s="9">
        <v>367600</v>
      </c>
      <c r="D761" s="9">
        <v>507600</v>
      </c>
      <c r="E761" s="9" t="s">
        <v>2329</v>
      </c>
      <c r="F761" s="9"/>
      <c r="G761" s="9"/>
      <c r="H761" s="9" t="s">
        <v>2337</v>
      </c>
      <c r="I761" s="8" t="s">
        <v>1442</v>
      </c>
      <c r="J761" s="9">
        <v>250</v>
      </c>
      <c r="K761" s="11"/>
      <c r="L761" s="11"/>
      <c r="M761" s="8" t="s">
        <v>592</v>
      </c>
      <c r="N761" s="8" t="s">
        <v>592</v>
      </c>
      <c r="O761" s="11" t="s">
        <v>592</v>
      </c>
      <c r="P761" s="22">
        <v>0</v>
      </c>
      <c r="Q761" s="12"/>
      <c r="R761" s="11" t="s">
        <v>599</v>
      </c>
      <c r="S761" s="8">
        <v>77</v>
      </c>
      <c r="T761" s="12"/>
      <c r="U761" s="11"/>
      <c r="V761" s="11"/>
      <c r="W761" s="11" t="s">
        <v>2331</v>
      </c>
      <c r="X761" s="9"/>
      <c r="Y761" s="9"/>
      <c r="Z761" s="8" t="s">
        <v>2331</v>
      </c>
      <c r="AA761" s="9"/>
      <c r="AB761" s="9" t="s">
        <v>2346</v>
      </c>
      <c r="AC761" s="46" t="s">
        <v>2351</v>
      </c>
    </row>
    <row r="762" spans="1:29" ht="33.75" customHeight="1">
      <c r="A762" s="9"/>
      <c r="B762" s="8" t="s">
        <v>109</v>
      </c>
      <c r="C762" s="9">
        <v>354500</v>
      </c>
      <c r="D762" s="9">
        <v>558800</v>
      </c>
      <c r="E762" s="9" t="s">
        <v>1982</v>
      </c>
      <c r="F762" s="9"/>
      <c r="G762" s="9"/>
      <c r="H762" s="9" t="s">
        <v>1983</v>
      </c>
      <c r="I762" s="8" t="s">
        <v>1984</v>
      </c>
      <c r="J762" s="9">
        <v>130</v>
      </c>
      <c r="K762" s="11"/>
      <c r="L762" s="11"/>
      <c r="M762" s="8">
        <v>3640</v>
      </c>
      <c r="N762" s="8">
        <v>1600</v>
      </c>
      <c r="O762" s="11">
        <f t="shared" ref="O762:O765" si="20">M762-N762</f>
        <v>2040</v>
      </c>
      <c r="P762" s="22">
        <v>9</v>
      </c>
      <c r="Q762" s="12">
        <f t="shared" ref="Q762:Q765" si="21">P762*1000/O762</f>
        <v>4.4117647058823533</v>
      </c>
      <c r="R762" s="11" t="s">
        <v>599</v>
      </c>
      <c r="S762" s="8">
        <v>15</v>
      </c>
      <c r="T762" s="12">
        <f>S762/O762*1000</f>
        <v>7.3529411764705879</v>
      </c>
      <c r="U762" s="11"/>
      <c r="V762" s="11"/>
      <c r="W762" s="11" t="s">
        <v>1987</v>
      </c>
      <c r="X762" s="9"/>
      <c r="Y762" s="9"/>
      <c r="Z762" s="8" t="s">
        <v>1987</v>
      </c>
      <c r="AA762" s="9"/>
      <c r="AB762" s="9" t="s">
        <v>2346</v>
      </c>
      <c r="AC762" s="46" t="s">
        <v>2351</v>
      </c>
    </row>
    <row r="763" spans="1:29" ht="33.75" customHeight="1">
      <c r="A763" s="9"/>
      <c r="B763" s="8" t="s">
        <v>504</v>
      </c>
      <c r="C763" s="9">
        <v>347700</v>
      </c>
      <c r="D763" s="9">
        <v>476800</v>
      </c>
      <c r="E763" s="9" t="s">
        <v>2338</v>
      </c>
      <c r="F763" s="9"/>
      <c r="G763" s="9"/>
      <c r="H763" s="9" t="s">
        <v>2326</v>
      </c>
      <c r="I763" s="8" t="s">
        <v>2339</v>
      </c>
      <c r="J763" s="9">
        <v>8</v>
      </c>
      <c r="K763" s="11"/>
      <c r="L763" s="11"/>
      <c r="M763" s="8">
        <v>11200</v>
      </c>
      <c r="N763" s="8">
        <v>5500</v>
      </c>
      <c r="O763" s="11">
        <f t="shared" si="20"/>
        <v>5700</v>
      </c>
      <c r="P763" s="22">
        <v>14</v>
      </c>
      <c r="Q763" s="12">
        <f t="shared" si="21"/>
        <v>2.4561403508771931</v>
      </c>
      <c r="R763" s="11" t="s">
        <v>599</v>
      </c>
      <c r="S763" s="8">
        <v>700</v>
      </c>
      <c r="T763" s="12">
        <f>S763/O763*1000</f>
        <v>122.80701754385964</v>
      </c>
      <c r="U763" s="11"/>
      <c r="V763" s="11"/>
      <c r="W763" s="11" t="s">
        <v>2340</v>
      </c>
      <c r="X763" s="9"/>
      <c r="Y763" s="9"/>
      <c r="Z763" s="8" t="s">
        <v>2340</v>
      </c>
      <c r="AA763" s="9" t="s">
        <v>2349</v>
      </c>
      <c r="AB763" s="9" t="s">
        <v>2346</v>
      </c>
      <c r="AC763" s="46" t="s">
        <v>2351</v>
      </c>
    </row>
    <row r="764" spans="1:29" s="44" customFormat="1" ht="33.75" customHeight="1">
      <c r="A764" s="19"/>
      <c r="B764" s="19" t="s">
        <v>504</v>
      </c>
      <c r="C764" s="19">
        <v>347700</v>
      </c>
      <c r="D764" s="19">
        <v>476800</v>
      </c>
      <c r="E764" s="19" t="s">
        <v>1976</v>
      </c>
      <c r="F764" s="19"/>
      <c r="G764" s="19"/>
      <c r="H764" s="19" t="s">
        <v>2326</v>
      </c>
      <c r="I764" s="19" t="s">
        <v>2341</v>
      </c>
      <c r="J764" s="19">
        <v>8</v>
      </c>
      <c r="K764" s="19"/>
      <c r="L764" s="19"/>
      <c r="M764" s="19">
        <v>10980</v>
      </c>
      <c r="N764" s="19">
        <v>10160</v>
      </c>
      <c r="O764" s="19">
        <f t="shared" si="20"/>
        <v>820</v>
      </c>
      <c r="P764" s="52">
        <v>2</v>
      </c>
      <c r="Q764" s="53">
        <f t="shared" si="21"/>
        <v>2.4390243902439024</v>
      </c>
      <c r="R764" s="19" t="s">
        <v>599</v>
      </c>
      <c r="S764" s="19">
        <v>87</v>
      </c>
      <c r="T764" s="53">
        <f>S764/O764*1000</f>
        <v>106.09756097560975</v>
      </c>
      <c r="U764" s="19"/>
      <c r="V764" s="19"/>
      <c r="W764" s="19" t="s">
        <v>20</v>
      </c>
      <c r="X764" s="19"/>
      <c r="Y764" s="19"/>
      <c r="Z764" s="19" t="s">
        <v>20</v>
      </c>
      <c r="AA764" s="19" t="s">
        <v>1733</v>
      </c>
      <c r="AB764" s="19" t="s">
        <v>2346</v>
      </c>
      <c r="AC764" s="47" t="s">
        <v>2351</v>
      </c>
    </row>
    <row r="765" spans="1:29" ht="33.75" customHeight="1">
      <c r="A765" s="9"/>
      <c r="B765" s="8" t="s">
        <v>109</v>
      </c>
      <c r="C765" s="9">
        <v>296500</v>
      </c>
      <c r="D765" s="9">
        <v>511400</v>
      </c>
      <c r="E765" s="9" t="s">
        <v>2342</v>
      </c>
      <c r="F765" s="9"/>
      <c r="G765" s="9"/>
      <c r="H765" s="9" t="s">
        <v>2343</v>
      </c>
      <c r="I765" s="8" t="s">
        <v>485</v>
      </c>
      <c r="J765" s="9">
        <v>33</v>
      </c>
      <c r="K765" s="11"/>
      <c r="L765" s="11"/>
      <c r="M765" s="8">
        <v>13290</v>
      </c>
      <c r="N765" s="8">
        <v>11180</v>
      </c>
      <c r="O765" s="11">
        <f t="shared" si="20"/>
        <v>2110</v>
      </c>
      <c r="P765" s="22">
        <v>11</v>
      </c>
      <c r="Q765" s="12">
        <f t="shared" si="21"/>
        <v>5.2132701421800949</v>
      </c>
      <c r="R765" s="11" t="s">
        <v>599</v>
      </c>
      <c r="S765" s="8">
        <v>17</v>
      </c>
      <c r="T765" s="12">
        <f>S765/O765*1000</f>
        <v>8.0568720379146921</v>
      </c>
      <c r="U765" s="11"/>
      <c r="V765" s="11"/>
      <c r="W765" s="11" t="s">
        <v>2344</v>
      </c>
      <c r="X765" s="9"/>
      <c r="Y765" s="9"/>
      <c r="Z765" s="8" t="s">
        <v>2345</v>
      </c>
      <c r="AA765" s="9"/>
      <c r="AB765" s="9" t="s">
        <v>2346</v>
      </c>
      <c r="AC765" s="46" t="s">
        <v>2351</v>
      </c>
    </row>
  </sheetData>
  <sortState ref="A2:AC526">
    <sortCondition ref="B2:B526"/>
  </sortState>
  <phoneticPr fontId="9"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1:C16"/>
  <sheetViews>
    <sheetView workbookViewId="0">
      <selection activeCell="C9" sqref="C9"/>
    </sheetView>
  </sheetViews>
  <sheetFormatPr defaultRowHeight="15"/>
  <cols>
    <col min="2" max="2" width="12.5703125" bestFit="1" customWidth="1"/>
    <col min="3" max="3" width="10.28515625" bestFit="1" customWidth="1"/>
  </cols>
  <sheetData>
    <row r="1" spans="2:3">
      <c r="B1" t="s">
        <v>2591</v>
      </c>
      <c r="C1" t="s">
        <v>2575</v>
      </c>
    </row>
    <row r="2" spans="2:3">
      <c r="B2" s="60" t="s">
        <v>2576</v>
      </c>
      <c r="C2">
        <v>4</v>
      </c>
    </row>
    <row r="3" spans="2:3">
      <c r="B3" s="60" t="s">
        <v>2577</v>
      </c>
      <c r="C3">
        <v>9</v>
      </c>
    </row>
    <row r="4" spans="2:3">
      <c r="B4" s="60" t="s">
        <v>2578</v>
      </c>
      <c r="C4">
        <v>16</v>
      </c>
    </row>
    <row r="5" spans="2:3">
      <c r="B5" s="60" t="s">
        <v>2579</v>
      </c>
      <c r="C5">
        <v>23</v>
      </c>
    </row>
    <row r="6" spans="2:3">
      <c r="B6" s="60" t="s">
        <v>2580</v>
      </c>
      <c r="C6">
        <v>34</v>
      </c>
    </row>
    <row r="7" spans="2:3">
      <c r="B7" s="60" t="s">
        <v>2581</v>
      </c>
      <c r="C7">
        <v>52</v>
      </c>
    </row>
    <row r="8" spans="2:3">
      <c r="B8" s="60" t="s">
        <v>2582</v>
      </c>
      <c r="C8">
        <v>56</v>
      </c>
    </row>
    <row r="9" spans="2:3">
      <c r="B9" s="60" t="s">
        <v>2583</v>
      </c>
      <c r="C9">
        <v>67</v>
      </c>
    </row>
    <row r="10" spans="2:3">
      <c r="B10" s="60" t="s">
        <v>2584</v>
      </c>
      <c r="C10">
        <v>83</v>
      </c>
    </row>
    <row r="11" spans="2:3">
      <c r="B11" s="60" t="s">
        <v>2585</v>
      </c>
      <c r="C11">
        <v>111</v>
      </c>
    </row>
    <row r="12" spans="2:3">
      <c r="B12" s="60" t="s">
        <v>2586</v>
      </c>
      <c r="C12">
        <v>131</v>
      </c>
    </row>
    <row r="13" spans="2:3">
      <c r="B13" s="60" t="s">
        <v>2587</v>
      </c>
      <c r="C13">
        <v>148</v>
      </c>
    </row>
    <row r="14" spans="2:3">
      <c r="B14" s="60" t="s">
        <v>2588</v>
      </c>
      <c r="C14">
        <v>140</v>
      </c>
    </row>
    <row r="15" spans="2:3">
      <c r="B15" s="60" t="s">
        <v>2589</v>
      </c>
      <c r="C15">
        <v>121</v>
      </c>
    </row>
    <row r="16" spans="2:3">
      <c r="B16" s="60" t="s">
        <v>2590</v>
      </c>
      <c r="C16">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3</vt:i4>
      </vt:variant>
    </vt:vector>
  </HeadingPairs>
  <TitlesOfParts>
    <vt:vector size="5" baseType="lpstr">
      <vt:lpstr>All sites</vt:lpstr>
      <vt:lpstr>All sites- freq data</vt:lpstr>
      <vt:lpstr>All data XY plot</vt:lpstr>
      <vt:lpstr>Freq dated records by millenium</vt:lpstr>
      <vt:lpstr>date res v sample 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M281347</cp:lastModifiedBy>
  <cp:lastPrinted>2013-06-23T14:07:02Z</cp:lastPrinted>
  <dcterms:created xsi:type="dcterms:W3CDTF">2013-02-26T10:50:01Z</dcterms:created>
  <dcterms:modified xsi:type="dcterms:W3CDTF">2014-03-10T11:39:14Z</dcterms:modified>
</cp:coreProperties>
</file>