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600" windowHeight="7995"/>
  </bookViews>
  <sheets>
    <sheet name="Assumptions" sheetId="11" r:id="rId1"/>
    <sheet name="Calculations" sheetId="3" r:id="rId2"/>
  </sheets>
  <definedNames>
    <definedName name="_xlnm.Print_Area" localSheetId="1">Calculations!$A$3:$W$31</definedName>
  </definedNames>
  <calcPr calcId="125725"/>
</workbook>
</file>

<file path=xl/calcChain.xml><?xml version="1.0" encoding="utf-8"?>
<calcChain xmlns="http://schemas.openxmlformats.org/spreadsheetml/2006/main">
  <c r="C15" i="11"/>
  <c r="C19" i="3"/>
  <c r="C13" i="11"/>
  <c r="C12"/>
  <c r="B14" i="3" s="1"/>
  <c r="V14" s="1"/>
  <c r="W14" s="1"/>
  <c r="C11" i="11"/>
  <c r="B13" i="3" s="1"/>
  <c r="V13" s="1"/>
  <c r="W13" s="1"/>
  <c r="C10" i="11"/>
  <c r="B12" i="3" s="1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C24" i="11"/>
  <c r="G24" i="3" s="1"/>
  <c r="C23" i="11"/>
  <c r="G23" i="3" s="1"/>
  <c r="C22" i="11"/>
  <c r="G22" i="3" s="1"/>
  <c r="B15"/>
  <c r="V15" s="1"/>
  <c r="W15" s="1"/>
  <c r="C14" i="11" l="1"/>
  <c r="B27" i="3"/>
  <c r="V27" s="1"/>
  <c r="W27" s="1"/>
  <c r="D23"/>
  <c r="T23"/>
  <c r="P23"/>
  <c r="B23"/>
  <c r="F23"/>
  <c r="R23"/>
  <c r="B22"/>
  <c r="D22"/>
  <c r="B24"/>
  <c r="D24"/>
  <c r="F22"/>
  <c r="T22"/>
  <c r="R22"/>
  <c r="P22"/>
  <c r="N22"/>
  <c r="L22"/>
  <c r="J22"/>
  <c r="H22"/>
  <c r="N23"/>
  <c r="L23"/>
  <c r="J23"/>
  <c r="H23"/>
  <c r="F24"/>
  <c r="T24"/>
  <c r="R24"/>
  <c r="P24"/>
  <c r="N24"/>
  <c r="L24"/>
  <c r="J24"/>
  <c r="H24"/>
  <c r="E22"/>
  <c r="C22"/>
  <c r="E23"/>
  <c r="C23"/>
  <c r="E24"/>
  <c r="C24"/>
  <c r="U22"/>
  <c r="S22"/>
  <c r="Q22"/>
  <c r="O22"/>
  <c r="M22"/>
  <c r="K22"/>
  <c r="I22"/>
  <c r="U23"/>
  <c r="S23"/>
  <c r="Q23"/>
  <c r="O23"/>
  <c r="M23"/>
  <c r="K23"/>
  <c r="I23"/>
  <c r="U24"/>
  <c r="S24"/>
  <c r="Q24"/>
  <c r="O24"/>
  <c r="M24"/>
  <c r="K24"/>
  <c r="I24"/>
  <c r="C28"/>
  <c r="B19"/>
  <c r="T19"/>
  <c r="R19"/>
  <c r="P19"/>
  <c r="N19"/>
  <c r="L19"/>
  <c r="J19"/>
  <c r="H19"/>
  <c r="F19"/>
  <c r="D19"/>
  <c r="U19"/>
  <c r="S19"/>
  <c r="Q19"/>
  <c r="O19"/>
  <c r="M19"/>
  <c r="K19"/>
  <c r="I19"/>
  <c r="G19"/>
  <c r="G29" s="1"/>
  <c r="E19"/>
  <c r="K29" l="1"/>
  <c r="E29"/>
  <c r="I29"/>
  <c r="M29"/>
  <c r="Q29"/>
  <c r="U29"/>
  <c r="F29"/>
  <c r="O29"/>
  <c r="S29"/>
  <c r="D29"/>
  <c r="H29"/>
  <c r="L29"/>
  <c r="P29"/>
  <c r="T29"/>
  <c r="J29"/>
  <c r="N29"/>
  <c r="R29"/>
  <c r="B28"/>
  <c r="B29"/>
  <c r="C29"/>
  <c r="E28"/>
  <c r="V23"/>
  <c r="W23" s="1"/>
  <c r="V24"/>
  <c r="W24" s="1"/>
  <c r="G28"/>
  <c r="L28"/>
  <c r="K28"/>
  <c r="O28"/>
  <c r="S28"/>
  <c r="D28"/>
  <c r="H28"/>
  <c r="P28"/>
  <c r="T28"/>
  <c r="I28"/>
  <c r="M28"/>
  <c r="Q28"/>
  <c r="U28"/>
  <c r="F28"/>
  <c r="J28"/>
  <c r="N28"/>
  <c r="R28"/>
  <c r="V22"/>
  <c r="W22" s="1"/>
  <c r="V19"/>
  <c r="W19" s="1"/>
  <c r="V28" l="1"/>
  <c r="W28" s="1"/>
  <c r="U30"/>
  <c r="T30"/>
  <c r="T31" s="1"/>
  <c r="S30"/>
  <c r="S31" s="1"/>
  <c r="R30"/>
  <c r="R31" s="1"/>
  <c r="Q30"/>
  <c r="Q31" s="1"/>
  <c r="P30"/>
  <c r="P31" s="1"/>
  <c r="O30"/>
  <c r="O31" s="1"/>
  <c r="N30"/>
  <c r="N31" s="1"/>
  <c r="M30"/>
  <c r="M31" s="1"/>
  <c r="L30"/>
  <c r="L31" s="1"/>
  <c r="K30"/>
  <c r="J30"/>
  <c r="J31" s="1"/>
  <c r="I30"/>
  <c r="I31" s="1"/>
  <c r="H30"/>
  <c r="H31" s="1"/>
  <c r="G30"/>
  <c r="G31" s="1"/>
  <c r="F30"/>
  <c r="E30"/>
  <c r="E31" s="1"/>
  <c r="D30"/>
  <c r="D31" s="1"/>
  <c r="C30"/>
  <c r="C31" s="1"/>
  <c r="B30"/>
  <c r="B31" s="1"/>
  <c r="V29" l="1"/>
  <c r="W29" s="1"/>
  <c r="U31"/>
  <c r="V12"/>
  <c r="F31" l="1"/>
  <c r="W12"/>
  <c r="K31" l="1"/>
  <c r="V31" s="1"/>
</calcChain>
</file>

<file path=xl/sharedStrings.xml><?xml version="1.0" encoding="utf-8"?>
<sst xmlns="http://schemas.openxmlformats.org/spreadsheetml/2006/main" count="63" uniqueCount="49">
  <si>
    <t>Year</t>
  </si>
  <si>
    <t>Discount factor @3.5%</t>
  </si>
  <si>
    <t>Total Costs</t>
  </si>
  <si>
    <t xml:space="preserve">Present value is calculated as total cost multiplied by discount factor.  The discount factor is calculated using a discount rate of 3.5% (based on guidance in H.M. Treasury (2007)). Discounting is used to reflect society’s preference to defer costs to future generations (and to receive goods and services sooner rather than later). </t>
  </si>
  <si>
    <t>No. of year in analysis</t>
  </si>
  <si>
    <t>Description of additional cost</t>
  </si>
  <si>
    <t>Technical inputs by UK Hydrographic Office</t>
  </si>
  <si>
    <t>Sub-total for one-off costs (one-off in first year)</t>
  </si>
  <si>
    <t>Sub-total for annual costs</t>
  </si>
  <si>
    <t>Adjustment of electronic tools and charts</t>
  </si>
  <si>
    <t>Annual in first four years</t>
  </si>
  <si>
    <t>Costs of mitigation</t>
  </si>
  <si>
    <t>For a full explanation of these assumptions, please see the technical method paper at Annex H.</t>
  </si>
  <si>
    <t>One-off costs</t>
  </si>
  <si>
    <t>Annual costs</t>
  </si>
  <si>
    <t>Total one-off costs</t>
  </si>
  <si>
    <t>Total annual costs</t>
  </si>
  <si>
    <t xml:space="preserve">Staff inputs at civilian SO1 level to the technical changes and preparation at 5% SO1 at £47,842(gross)/yr </t>
  </si>
  <si>
    <t xml:space="preserve">Staff inputs at civilian SO2 level to the technical changes and preparation at 10% SO2 at £38,917(gross)/yr </t>
  </si>
  <si>
    <t xml:space="preserve">Inputs at military SO2 level to the technical changes and preparation at 5% SO2 at £79,706(gross)/yr  </t>
  </si>
  <si>
    <t>Adjustment of electronic tools and charts:</t>
  </si>
  <si>
    <t xml:space="preserve">Staff inputs at civilian SO1 level to the technical changes and preparation </t>
  </si>
  <si>
    <t>Staff inputs at civilian SO2 level to the technical changes and preparation</t>
  </si>
  <si>
    <t xml:space="preserve">Inputs at military SO2 level to the technical changes and preparation </t>
  </si>
  <si>
    <t>Maintenance of electronic tools and charts:</t>
  </si>
  <si>
    <t>Costs to mitigate impact of activity:</t>
  </si>
  <si>
    <t>Input by Military SNCO Chief Petty Officer</t>
  </si>
  <si>
    <t>Input by Military SNCO Chief Petty Officer (total salary cost of £53,751/yr): equivalent to 5% of the time of one Military SNCO Chief Petty Officer</t>
  </si>
  <si>
    <t xml:space="preserve">Input by Military SO2 Lieutenant </t>
  </si>
  <si>
    <t xml:space="preserve">Input by Military SO3 Lieutenant </t>
  </si>
  <si>
    <t xml:space="preserve">Input by a Military SO2 Lieutenant (total salary cost of £79,706/yr): equivalent to 5% of the time of one Military SO2 Lieutenant </t>
  </si>
  <si>
    <t>Input by a Military SO3 Lieutenant (total salary cost of £62,139/yr): equivalent to 5% of the time of one Military SO3 Lieutenant</t>
  </si>
  <si>
    <t>Present Value (PV) Calculations (£millions; constant prices)</t>
  </si>
  <si>
    <t>Present value of total cost</t>
  </si>
  <si>
    <t>Total</t>
  </si>
  <si>
    <t>Annual Average</t>
  </si>
  <si>
    <t xml:space="preserve">Management Scenario 1 - Estimated costs of impacts of rMCZs on National Defence (£m).  </t>
  </si>
  <si>
    <t xml:space="preserve">All project areas </t>
  </si>
  <si>
    <t>Total costs for Scenario 1</t>
  </si>
  <si>
    <t>Assumption and frequency of cost</t>
  </si>
  <si>
    <t>Cost, £m</t>
  </si>
  <si>
    <t>One-off cost in first year</t>
  </si>
  <si>
    <t>Annual cost</t>
  </si>
  <si>
    <t>Source: Ministry of Defence, pers. comm., 2011</t>
  </si>
  <si>
    <t xml:space="preserve">Total (for years 1 - 4 of IA period only) </t>
  </si>
  <si>
    <t xml:space="preserve"> Total (for years 5 - 20 of IA period and 50% of input in years 1 - 4) </t>
  </si>
  <si>
    <t>Scenario 1 Assumptions:</t>
  </si>
  <si>
    <t>MCZ IA Calculations: National Defence</t>
  </si>
  <si>
    <t>Annex N9 from Finding Sanctuary, Irish Seas Conservation Zones, Net Gain and Balanced Seas. 2012. Impact Assessment materials in support of the Regional Marine Conservation Zone Projects' Recommendations.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</si>
</sst>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164" formatCode="0.000000"/>
    <numFmt numFmtId="165" formatCode="0.000"/>
    <numFmt numFmtId="166" formatCode="#,##0.000_ ;\-#,##0.000\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rgb="FF000000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10"/>
      <color rgb="FF1F497D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i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Fill="1"/>
    <xf numFmtId="0" fontId="2" fillId="0" borderId="0" xfId="0" applyFont="1" applyBorder="1"/>
    <xf numFmtId="0" fontId="3" fillId="0" borderId="0" xfId="0" applyFont="1" applyBorder="1"/>
    <xf numFmtId="0" fontId="8" fillId="0" borderId="0" xfId="0" applyFont="1"/>
    <xf numFmtId="0" fontId="6" fillId="0" borderId="0" xfId="0" applyFont="1" applyAlignment="1"/>
    <xf numFmtId="0" fontId="9" fillId="0" borderId="0" xfId="0" applyFont="1"/>
    <xf numFmtId="0" fontId="8" fillId="0" borderId="0" xfId="0" applyFont="1" applyAlignment="1"/>
    <xf numFmtId="0" fontId="10" fillId="0" borderId="0" xfId="0" applyFont="1"/>
    <xf numFmtId="0" fontId="11" fillId="0" borderId="0" xfId="0" applyFont="1"/>
    <xf numFmtId="0" fontId="4" fillId="2" borderId="0" xfId="0" applyFont="1" applyFill="1" applyAlignment="1"/>
    <xf numFmtId="0" fontId="3" fillId="0" borderId="1" xfId="0" applyFont="1" applyBorder="1"/>
    <xf numFmtId="165" fontId="3" fillId="0" borderId="0" xfId="0" applyNumberFormat="1" applyFont="1" applyBorder="1"/>
    <xf numFmtId="0" fontId="10" fillId="0" borderId="0" xfId="0" applyFont="1" applyBorder="1"/>
    <xf numFmtId="0" fontId="3" fillId="0" borderId="0" xfId="0" applyFont="1" applyAlignment="1">
      <alignment vertical="top" wrapText="1"/>
    </xf>
    <xf numFmtId="0" fontId="3" fillId="0" borderId="0" xfId="0" applyFont="1" applyAlignment="1"/>
    <xf numFmtId="0" fontId="10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/>
    </xf>
    <xf numFmtId="0" fontId="3" fillId="2" borderId="0" xfId="0" applyFont="1" applyFill="1"/>
    <xf numFmtId="0" fontId="6" fillId="0" borderId="0" xfId="0" applyFont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/>
    <xf numFmtId="0" fontId="3" fillId="0" borderId="0" xfId="0" applyFont="1" applyBorder="1" applyAlignment="1">
      <alignment horizontal="left" vertical="top" wrapText="1"/>
    </xf>
    <xf numFmtId="165" fontId="2" fillId="0" borderId="0" xfId="0" applyNumberFormat="1" applyFont="1" applyBorder="1"/>
    <xf numFmtId="0" fontId="2" fillId="0" borderId="0" xfId="0" applyFont="1" applyAlignment="1"/>
    <xf numFmtId="0" fontId="2" fillId="0" borderId="0" xfId="0" applyFont="1" applyBorder="1" applyAlignment="1">
      <alignment wrapText="1"/>
    </xf>
    <xf numFmtId="165" fontId="3" fillId="0" borderId="5" xfId="0" applyNumberFormat="1" applyFont="1" applyBorder="1"/>
    <xf numFmtId="165" fontId="3" fillId="0" borderId="6" xfId="0" applyNumberFormat="1" applyFont="1" applyBorder="1"/>
    <xf numFmtId="165" fontId="2" fillId="0" borderId="6" xfId="0" applyNumberFormat="1" applyFont="1" applyBorder="1"/>
    <xf numFmtId="165" fontId="2" fillId="0" borderId="6" xfId="0" applyNumberFormat="1" applyFont="1" applyFill="1" applyBorder="1"/>
    <xf numFmtId="0" fontId="3" fillId="0" borderId="7" xfId="0" applyFont="1" applyBorder="1"/>
    <xf numFmtId="0" fontId="7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Border="1" applyAlignment="1">
      <alignment horizontal="right"/>
    </xf>
    <xf numFmtId="0" fontId="3" fillId="0" borderId="0" xfId="0" quotePrefix="1" applyFont="1" applyFill="1" applyBorder="1" applyAlignment="1">
      <alignment vertical="center"/>
    </xf>
    <xf numFmtId="0" fontId="9" fillId="0" borderId="0" xfId="0" applyFont="1" applyAlignment="1">
      <alignment horizontal="right"/>
    </xf>
    <xf numFmtId="0" fontId="9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2" fillId="0" borderId="0" xfId="0" applyFont="1"/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left" vertical="top" wrapText="1"/>
    </xf>
    <xf numFmtId="0" fontId="2" fillId="3" borderId="8" xfId="0" applyFont="1" applyFill="1" applyBorder="1" applyAlignment="1">
      <alignment vertical="top" wrapText="1"/>
    </xf>
    <xf numFmtId="165" fontId="5" fillId="0" borderId="8" xfId="0" applyNumberFormat="1" applyFont="1" applyBorder="1" applyAlignment="1">
      <alignment horizontal="right" vertical="top" wrapText="1"/>
    </xf>
    <xf numFmtId="166" fontId="3" fillId="0" borderId="8" xfId="1" applyNumberFormat="1" applyFont="1" applyBorder="1" applyAlignment="1">
      <alignment vertical="top" wrapText="1"/>
    </xf>
    <xf numFmtId="166" fontId="2" fillId="0" borderId="8" xfId="0" applyNumberFormat="1" applyFont="1" applyBorder="1" applyAlignment="1">
      <alignment vertical="top" wrapText="1"/>
    </xf>
    <xf numFmtId="165" fontId="3" fillId="0" borderId="8" xfId="0" applyNumberFormat="1" applyFont="1" applyBorder="1" applyAlignment="1">
      <alignment vertical="top" wrapText="1"/>
    </xf>
    <xf numFmtId="165" fontId="2" fillId="0" borderId="8" xfId="0" applyNumberFormat="1" applyFont="1" applyBorder="1" applyAlignment="1">
      <alignment vertical="top" wrapText="1"/>
    </xf>
    <xf numFmtId="165" fontId="3" fillId="0" borderId="8" xfId="1" applyNumberFormat="1" applyFont="1" applyBorder="1" applyAlignment="1">
      <alignment vertical="top" wrapText="1"/>
    </xf>
    <xf numFmtId="0" fontId="3" fillId="0" borderId="0" xfId="0" applyFont="1" applyFill="1" applyAlignment="1">
      <alignment horizontal="left" wrapText="1"/>
    </xf>
    <xf numFmtId="0" fontId="5" fillId="0" borderId="9" xfId="0" applyFont="1" applyBorder="1" applyAlignment="1">
      <alignment horizontal="right" vertical="top" wrapText="1"/>
    </xf>
    <xf numFmtId="0" fontId="5" fillId="0" borderId="10" xfId="0" applyFont="1" applyBorder="1" applyAlignment="1">
      <alignment horizontal="right" vertical="top" wrapText="1"/>
    </xf>
    <xf numFmtId="0" fontId="3" fillId="0" borderId="0" xfId="0" applyFont="1" applyFill="1" applyAlignment="1">
      <alignment horizontal="left" wrapText="1"/>
    </xf>
    <xf numFmtId="0" fontId="7" fillId="0" borderId="0" xfId="0" applyFont="1" applyAlignment="1">
      <alignment horizontal="left" wrapText="1"/>
    </xf>
    <xf numFmtId="0" fontId="2" fillId="0" borderId="8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workbookViewId="0">
      <selection activeCell="B11" sqref="B11"/>
    </sheetView>
  </sheetViews>
  <sheetFormatPr defaultRowHeight="15.75" customHeight="1"/>
  <cols>
    <col min="1" max="1" width="51.42578125" style="1" customWidth="1"/>
    <col min="2" max="2" width="21.85546875" style="1" customWidth="1"/>
    <col min="3" max="3" width="9.140625" style="1" customWidth="1"/>
    <col min="4" max="4" width="11.42578125" style="1" customWidth="1"/>
    <col min="5" max="16384" width="9.140625" style="1"/>
  </cols>
  <sheetData>
    <row r="1" spans="1:18" s="21" customFormat="1" ht="18.75" customHeight="1">
      <c r="A1" s="11" t="s">
        <v>47</v>
      </c>
      <c r="B1" s="11"/>
    </row>
    <row r="2" spans="1:18" s="2" customFormat="1" ht="24.75" customHeight="1">
      <c r="A2" s="56" t="s">
        <v>48</v>
      </c>
      <c r="B2" s="56"/>
      <c r="C2" s="56"/>
      <c r="D2" s="56"/>
      <c r="E2" s="56"/>
      <c r="F2" s="56"/>
      <c r="G2" s="56"/>
      <c r="H2" s="56"/>
    </row>
    <row r="3" spans="1:18" s="2" customFormat="1" ht="14.25" customHeight="1">
      <c r="A3" s="53"/>
      <c r="B3" s="53"/>
      <c r="C3" s="53"/>
      <c r="D3" s="53"/>
      <c r="E3" s="53"/>
      <c r="F3" s="53"/>
      <c r="G3" s="53"/>
      <c r="H3" s="53"/>
    </row>
    <row r="4" spans="1:18" ht="12.75" customHeight="1">
      <c r="A4" s="43" t="s">
        <v>46</v>
      </c>
      <c r="B4" s="43"/>
    </row>
    <row r="5" spans="1:18" ht="12.75">
      <c r="A5" s="57" t="s">
        <v>12</v>
      </c>
      <c r="B5" s="57"/>
      <c r="C5" s="57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18" ht="15.75" customHeight="1">
      <c r="A6" s="5"/>
      <c r="B6" s="5"/>
      <c r="G6" s="37"/>
      <c r="H6" s="38"/>
      <c r="M6" s="39"/>
    </row>
    <row r="7" spans="1:18" ht="15.75" customHeight="1">
      <c r="A7" s="6" t="s">
        <v>9</v>
      </c>
      <c r="B7" s="6"/>
      <c r="C7" s="7"/>
      <c r="D7" s="7"/>
      <c r="E7" s="7"/>
      <c r="F7" s="7"/>
      <c r="G7" s="40"/>
      <c r="H7" s="41"/>
      <c r="I7" s="7"/>
      <c r="M7" s="39"/>
    </row>
    <row r="8" spans="1:18" ht="15.75" customHeight="1">
      <c r="A8" s="8"/>
      <c r="B8" s="8"/>
      <c r="H8" s="37"/>
      <c r="M8" s="42"/>
    </row>
    <row r="9" spans="1:18" ht="31.5" customHeight="1">
      <c r="A9" s="46" t="s">
        <v>5</v>
      </c>
      <c r="B9" s="46" t="s">
        <v>39</v>
      </c>
      <c r="C9" s="46" t="s">
        <v>40</v>
      </c>
      <c r="H9" s="37"/>
      <c r="M9" s="42"/>
    </row>
    <row r="10" spans="1:18" ht="25.5" customHeight="1">
      <c r="A10" s="44" t="s">
        <v>6</v>
      </c>
      <c r="B10" s="44" t="s">
        <v>41</v>
      </c>
      <c r="C10" s="48">
        <f>15000/1000000</f>
        <v>1.4999999999999999E-2</v>
      </c>
      <c r="M10" s="42"/>
    </row>
    <row r="11" spans="1:18" ht="27.75" customHeight="1">
      <c r="A11" s="44" t="s">
        <v>17</v>
      </c>
      <c r="B11" s="44" t="s">
        <v>41</v>
      </c>
      <c r="C11" s="48">
        <f>(0.05*47842)/1000000</f>
        <v>2.3920999999999999E-3</v>
      </c>
      <c r="M11" s="42"/>
    </row>
    <row r="12" spans="1:18" ht="33.75" customHeight="1">
      <c r="A12" s="45" t="s">
        <v>18</v>
      </c>
      <c r="B12" s="44" t="s">
        <v>41</v>
      </c>
      <c r="C12" s="48">
        <f>(0.1*38917)/1000000</f>
        <v>3.8917000000000001E-3</v>
      </c>
      <c r="M12" s="42"/>
    </row>
    <row r="13" spans="1:18" ht="41.25" customHeight="1">
      <c r="A13" s="44" t="s">
        <v>19</v>
      </c>
      <c r="B13" s="44" t="s">
        <v>41</v>
      </c>
      <c r="C13" s="48">
        <f>(0.05*79706)/1000000</f>
        <v>3.9852999999999998E-3</v>
      </c>
      <c r="M13" s="42"/>
    </row>
    <row r="14" spans="1:18" ht="15.75" customHeight="1">
      <c r="A14" s="58" t="s">
        <v>7</v>
      </c>
      <c r="B14" s="58"/>
      <c r="C14" s="49">
        <f>SUM(C10,C11,C12,C13)</f>
        <v>2.5269100000000003E-2</v>
      </c>
    </row>
    <row r="15" spans="1:18" ht="28.5" customHeight="1">
      <c r="A15" s="44" t="s">
        <v>6</v>
      </c>
      <c r="B15" s="44" t="s">
        <v>42</v>
      </c>
      <c r="C15" s="50">
        <f>5000/1000000</f>
        <v>5.0000000000000001E-3</v>
      </c>
    </row>
    <row r="16" spans="1:18" ht="15.75" customHeight="1">
      <c r="A16" s="58" t="s">
        <v>8</v>
      </c>
      <c r="B16" s="58"/>
      <c r="C16" s="51">
        <v>5.0000000000000001E-3</v>
      </c>
    </row>
    <row r="17" spans="1:3" ht="15.75" customHeight="1">
      <c r="A17" s="1" t="s">
        <v>43</v>
      </c>
      <c r="B17" s="9"/>
      <c r="C17" s="2"/>
    </row>
    <row r="19" spans="1:3" ht="15.75" customHeight="1">
      <c r="A19" s="10" t="s">
        <v>11</v>
      </c>
      <c r="B19" s="10"/>
    </row>
    <row r="20" spans="1:3" ht="15.75" customHeight="1">
      <c r="A20" s="10"/>
      <c r="B20" s="10"/>
    </row>
    <row r="21" spans="1:3" ht="39.75" customHeight="1">
      <c r="A21" s="46" t="s">
        <v>5</v>
      </c>
      <c r="B21" s="46" t="s">
        <v>39</v>
      </c>
      <c r="C21" s="46" t="s">
        <v>40</v>
      </c>
    </row>
    <row r="22" spans="1:3" ht="30.75" customHeight="1">
      <c r="A22" s="44" t="s">
        <v>30</v>
      </c>
      <c r="B22" s="44" t="s">
        <v>10</v>
      </c>
      <c r="C22" s="52">
        <f>(0.05*79706)/1000000</f>
        <v>3.9852999999999998E-3</v>
      </c>
    </row>
    <row r="23" spans="1:3" ht="30" customHeight="1">
      <c r="A23" s="44" t="s">
        <v>31</v>
      </c>
      <c r="B23" s="44" t="s">
        <v>10</v>
      </c>
      <c r="C23" s="52">
        <f>(0.05*62139)/1000000</f>
        <v>3.1069500000000002E-3</v>
      </c>
    </row>
    <row r="24" spans="1:3" ht="40.5" customHeight="1">
      <c r="A24" s="45" t="s">
        <v>27</v>
      </c>
      <c r="B24" s="44" t="s">
        <v>10</v>
      </c>
      <c r="C24" s="52">
        <f>(0.05*53751)/1000000</f>
        <v>2.6875500000000004E-3</v>
      </c>
    </row>
    <row r="25" spans="1:3" ht="15.75" customHeight="1">
      <c r="A25" s="54" t="s">
        <v>44</v>
      </c>
      <c r="B25" s="55"/>
      <c r="C25" s="47">
        <v>0.01</v>
      </c>
    </row>
    <row r="26" spans="1:3" ht="16.5" customHeight="1">
      <c r="A26" s="54" t="s">
        <v>45</v>
      </c>
      <c r="B26" s="55"/>
      <c r="C26" s="47">
        <v>5.0000000000000001E-3</v>
      </c>
    </row>
    <row r="27" spans="1:3" ht="15.75" customHeight="1">
      <c r="A27" s="1" t="s">
        <v>43</v>
      </c>
      <c r="B27" s="9"/>
    </row>
  </sheetData>
  <sheetProtection password="8725" sheet="1" objects="1" scenarios="1"/>
  <mergeCells count="6">
    <mergeCell ref="A26:B26"/>
    <mergeCell ref="A2:H2"/>
    <mergeCell ref="A5:C5"/>
    <mergeCell ref="A14:B14"/>
    <mergeCell ref="A16:B16"/>
    <mergeCell ref="A25:B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2"/>
  <sheetViews>
    <sheetView zoomScale="80" zoomScaleNormal="80" workbookViewId="0">
      <selection activeCell="A4" sqref="A4:W4"/>
    </sheetView>
  </sheetViews>
  <sheetFormatPr defaultRowHeight="12.75"/>
  <cols>
    <col min="1" max="1" width="39.7109375" style="4" customWidth="1"/>
    <col min="2" max="21" width="7.5703125" style="4" customWidth="1"/>
    <col min="22" max="22" width="9" style="4" customWidth="1"/>
    <col min="23" max="23" width="10.28515625" style="4" customWidth="1"/>
    <col min="24" max="16384" width="9.140625" style="4"/>
  </cols>
  <sheetData>
    <row r="1" spans="1:23" s="21" customFormat="1" ht="18.75" customHeight="1">
      <c r="A1" s="11" t="s">
        <v>47</v>
      </c>
      <c r="B1" s="11"/>
    </row>
    <row r="2" spans="1:23" s="2" customFormat="1" ht="14.25" customHeight="1">
      <c r="A2" s="56" t="s">
        <v>48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>
      <c r="A3" s="3" t="s">
        <v>32</v>
      </c>
    </row>
    <row r="4" spans="1:23" ht="29.25" customHeight="1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</row>
    <row r="5" spans="1:23" ht="18" customHeight="1" thickBo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customFormat="1" ht="21" customHeight="1" thickBot="1">
      <c r="A6" s="62" t="s">
        <v>36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spans="1:23" ht="17.25" customHeight="1">
      <c r="A7" s="23" t="s">
        <v>0</v>
      </c>
      <c r="B7" s="24">
        <v>2013</v>
      </c>
      <c r="C7" s="24">
        <v>2014</v>
      </c>
      <c r="D7" s="24">
        <v>2015</v>
      </c>
      <c r="E7" s="24">
        <v>2016</v>
      </c>
      <c r="F7" s="24">
        <v>2017</v>
      </c>
      <c r="G7" s="24">
        <v>2018</v>
      </c>
      <c r="H7" s="24">
        <v>2019</v>
      </c>
      <c r="I7" s="24">
        <v>2020</v>
      </c>
      <c r="J7" s="24">
        <v>2021</v>
      </c>
      <c r="K7" s="24">
        <v>2022</v>
      </c>
      <c r="L7" s="24">
        <v>2023</v>
      </c>
      <c r="M7" s="24">
        <v>2024</v>
      </c>
      <c r="N7" s="24">
        <v>2025</v>
      </c>
      <c r="O7" s="24">
        <v>2026</v>
      </c>
      <c r="P7" s="24">
        <v>2027</v>
      </c>
      <c r="Q7" s="24">
        <v>2028</v>
      </c>
      <c r="R7" s="24">
        <v>2029</v>
      </c>
      <c r="S7" s="24">
        <v>2030</v>
      </c>
      <c r="T7" s="24">
        <v>2031</v>
      </c>
      <c r="U7" s="24">
        <v>2032</v>
      </c>
      <c r="V7" s="60" t="s">
        <v>34</v>
      </c>
      <c r="W7" s="60" t="s">
        <v>35</v>
      </c>
    </row>
    <row r="8" spans="1:23" ht="13.5" thickBot="1">
      <c r="A8" s="25" t="s">
        <v>4</v>
      </c>
      <c r="B8" s="26">
        <v>1</v>
      </c>
      <c r="C8" s="26">
        <v>2</v>
      </c>
      <c r="D8" s="26">
        <v>3</v>
      </c>
      <c r="E8" s="26">
        <v>4</v>
      </c>
      <c r="F8" s="26">
        <v>5</v>
      </c>
      <c r="G8" s="26">
        <v>6</v>
      </c>
      <c r="H8" s="26">
        <v>7</v>
      </c>
      <c r="I8" s="26">
        <v>8</v>
      </c>
      <c r="J8" s="26">
        <v>9</v>
      </c>
      <c r="K8" s="26">
        <v>10</v>
      </c>
      <c r="L8" s="26">
        <v>11</v>
      </c>
      <c r="M8" s="26">
        <v>12</v>
      </c>
      <c r="N8" s="26">
        <v>13</v>
      </c>
      <c r="O8" s="26">
        <v>14</v>
      </c>
      <c r="P8" s="26">
        <v>15</v>
      </c>
      <c r="Q8" s="26">
        <v>16</v>
      </c>
      <c r="R8" s="26">
        <v>17</v>
      </c>
      <c r="S8" s="26">
        <v>18</v>
      </c>
      <c r="T8" s="26">
        <v>19</v>
      </c>
      <c r="U8" s="26">
        <v>20</v>
      </c>
      <c r="V8" s="61"/>
      <c r="W8" s="61"/>
    </row>
    <row r="9" spans="1:23" s="22" customFormat="1">
      <c r="A9" s="3" t="s">
        <v>37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31"/>
      <c r="W9" s="13"/>
    </row>
    <row r="10" spans="1:23" s="22" customFormat="1">
      <c r="A10" s="3" t="s">
        <v>13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32"/>
      <c r="W10" s="13"/>
    </row>
    <row r="11" spans="1:23" s="22" customFormat="1">
      <c r="A11" s="14" t="s">
        <v>20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32"/>
      <c r="W11" s="13"/>
    </row>
    <row r="12" spans="1:23" s="22" customFormat="1" ht="12.75" customHeight="1">
      <c r="A12" s="15" t="s">
        <v>6</v>
      </c>
      <c r="B12" s="13">
        <f>Assumptions!C10</f>
        <v>1.4999999999999999E-2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32">
        <f>SUM(B12:U12)</f>
        <v>1.4999999999999999E-2</v>
      </c>
      <c r="W12" s="13">
        <f>V12/20</f>
        <v>7.5000000000000002E-4</v>
      </c>
    </row>
    <row r="13" spans="1:23" s="22" customFormat="1" ht="28.5" customHeight="1">
      <c r="A13" s="15" t="s">
        <v>21</v>
      </c>
      <c r="B13" s="13">
        <f>Assumptions!C11</f>
        <v>2.3920999999999999E-3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32">
        <f t="shared" ref="V13:V15" si="0">SUM(B13:U13)</f>
        <v>2.3920999999999999E-3</v>
      </c>
      <c r="W13" s="13">
        <f t="shared" ref="W13:W15" si="1">V13/20</f>
        <v>1.1960499999999999E-4</v>
      </c>
    </row>
    <row r="14" spans="1:23" s="22" customFormat="1" ht="28.5" customHeight="1">
      <c r="A14" s="15" t="s">
        <v>22</v>
      </c>
      <c r="B14" s="13">
        <f>Assumptions!C12</f>
        <v>3.8917000000000001E-3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32">
        <f t="shared" si="0"/>
        <v>3.8917000000000001E-3</v>
      </c>
      <c r="W14" s="13">
        <f t="shared" si="1"/>
        <v>1.9458499999999999E-4</v>
      </c>
    </row>
    <row r="15" spans="1:23" s="22" customFormat="1" ht="28.5" customHeight="1">
      <c r="A15" s="15" t="s">
        <v>23</v>
      </c>
      <c r="B15" s="13">
        <f>Assumptions!C13</f>
        <v>3.9852999999999998E-3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32">
        <f t="shared" si="0"/>
        <v>3.9852999999999998E-3</v>
      </c>
      <c r="W15" s="13">
        <f t="shared" si="1"/>
        <v>1.9926499999999998E-4</v>
      </c>
    </row>
    <row r="16" spans="1:23" s="22" customFormat="1">
      <c r="A16" s="16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32"/>
      <c r="W16" s="13"/>
    </row>
    <row r="17" spans="1:23" s="22" customFormat="1">
      <c r="A17" s="29" t="s">
        <v>14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32"/>
      <c r="W17" s="13"/>
    </row>
    <row r="18" spans="1:23" s="22" customFormat="1">
      <c r="A18" s="14" t="s">
        <v>24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32"/>
      <c r="W18" s="13"/>
    </row>
    <row r="19" spans="1:23" s="22" customFormat="1" ht="14.25" customHeight="1">
      <c r="A19" s="15" t="s">
        <v>6</v>
      </c>
      <c r="B19" s="13">
        <f>Assumptions!$C$15</f>
        <v>5.0000000000000001E-3</v>
      </c>
      <c r="C19" s="13">
        <f>Assumptions!$C$15</f>
        <v>5.0000000000000001E-3</v>
      </c>
      <c r="D19" s="13">
        <f>Assumptions!$C$15</f>
        <v>5.0000000000000001E-3</v>
      </c>
      <c r="E19" s="13">
        <f>Assumptions!$C$15</f>
        <v>5.0000000000000001E-3</v>
      </c>
      <c r="F19" s="13">
        <f>Assumptions!$C$15</f>
        <v>5.0000000000000001E-3</v>
      </c>
      <c r="G19" s="13">
        <f>Assumptions!$C$15</f>
        <v>5.0000000000000001E-3</v>
      </c>
      <c r="H19" s="13">
        <f>Assumptions!$C$15</f>
        <v>5.0000000000000001E-3</v>
      </c>
      <c r="I19" s="13">
        <f>Assumptions!$C$15</f>
        <v>5.0000000000000001E-3</v>
      </c>
      <c r="J19" s="13">
        <f>Assumptions!$C$15</f>
        <v>5.0000000000000001E-3</v>
      </c>
      <c r="K19" s="13">
        <f>Assumptions!$C$15</f>
        <v>5.0000000000000001E-3</v>
      </c>
      <c r="L19" s="13">
        <f>Assumptions!$C$15</f>
        <v>5.0000000000000001E-3</v>
      </c>
      <c r="M19" s="13">
        <f>Assumptions!$C$15</f>
        <v>5.0000000000000001E-3</v>
      </c>
      <c r="N19" s="13">
        <f>Assumptions!$C$15</f>
        <v>5.0000000000000001E-3</v>
      </c>
      <c r="O19" s="13">
        <f>Assumptions!$C$15</f>
        <v>5.0000000000000001E-3</v>
      </c>
      <c r="P19" s="13">
        <f>Assumptions!$C$15</f>
        <v>5.0000000000000001E-3</v>
      </c>
      <c r="Q19" s="13">
        <f>Assumptions!$C$15</f>
        <v>5.0000000000000001E-3</v>
      </c>
      <c r="R19" s="13">
        <f>Assumptions!$C$15</f>
        <v>5.0000000000000001E-3</v>
      </c>
      <c r="S19" s="13">
        <f>Assumptions!$C$15</f>
        <v>5.0000000000000001E-3</v>
      </c>
      <c r="T19" s="13">
        <f>Assumptions!$C$15</f>
        <v>5.0000000000000001E-3</v>
      </c>
      <c r="U19" s="13">
        <f>Assumptions!$C$15</f>
        <v>5.0000000000000001E-3</v>
      </c>
      <c r="V19" s="32">
        <f t="shared" ref="V19" si="2">SUM(B19:U19)</f>
        <v>0.10000000000000002</v>
      </c>
      <c r="W19" s="13">
        <f t="shared" ref="W19" si="3">V19/20</f>
        <v>5.000000000000001E-3</v>
      </c>
    </row>
    <row r="20" spans="1:23" s="22" customFormat="1" ht="14.25" customHeight="1">
      <c r="A20" s="15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32"/>
      <c r="W20" s="13"/>
    </row>
    <row r="21" spans="1:23" s="22" customFormat="1" ht="14.25" customHeight="1">
      <c r="A21" s="17" t="s">
        <v>25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32"/>
      <c r="W21" s="13"/>
    </row>
    <row r="22" spans="1:23" s="22" customFormat="1">
      <c r="A22" s="18" t="s">
        <v>28</v>
      </c>
      <c r="B22" s="13">
        <f>Assumptions!$C$22</f>
        <v>3.9852999999999998E-3</v>
      </c>
      <c r="C22" s="13">
        <f>Assumptions!$C$22</f>
        <v>3.9852999999999998E-3</v>
      </c>
      <c r="D22" s="13">
        <f>Assumptions!$C$22</f>
        <v>3.9852999999999998E-3</v>
      </c>
      <c r="E22" s="13">
        <f>Assumptions!$C$22</f>
        <v>3.9852999999999998E-3</v>
      </c>
      <c r="F22" s="13">
        <f>Assumptions!$C$22/2</f>
        <v>1.9926499999999999E-3</v>
      </c>
      <c r="G22" s="13">
        <f>Assumptions!$C$22/2</f>
        <v>1.9926499999999999E-3</v>
      </c>
      <c r="H22" s="13">
        <f>Assumptions!$C$22/2</f>
        <v>1.9926499999999999E-3</v>
      </c>
      <c r="I22" s="13">
        <f>Assumptions!$C$22/2</f>
        <v>1.9926499999999999E-3</v>
      </c>
      <c r="J22" s="13">
        <f>Assumptions!$C$22/2</f>
        <v>1.9926499999999999E-3</v>
      </c>
      <c r="K22" s="13">
        <f>Assumptions!$C$22/2</f>
        <v>1.9926499999999999E-3</v>
      </c>
      <c r="L22" s="13">
        <f>Assumptions!$C$22/2</f>
        <v>1.9926499999999999E-3</v>
      </c>
      <c r="M22" s="13">
        <f>Assumptions!$C$22/2</f>
        <v>1.9926499999999999E-3</v>
      </c>
      <c r="N22" s="13">
        <f>Assumptions!$C$22/2</f>
        <v>1.9926499999999999E-3</v>
      </c>
      <c r="O22" s="13">
        <f>Assumptions!$C$22/2</f>
        <v>1.9926499999999999E-3</v>
      </c>
      <c r="P22" s="13">
        <f>Assumptions!$C$22/2</f>
        <v>1.9926499999999999E-3</v>
      </c>
      <c r="Q22" s="13">
        <f>Assumptions!$C$22/2</f>
        <v>1.9926499999999999E-3</v>
      </c>
      <c r="R22" s="13">
        <f>Assumptions!$C$22/2</f>
        <v>1.9926499999999999E-3</v>
      </c>
      <c r="S22" s="13">
        <f>Assumptions!$C$22/2</f>
        <v>1.9926499999999999E-3</v>
      </c>
      <c r="T22" s="13">
        <f>Assumptions!$C$22/2</f>
        <v>1.9926499999999999E-3</v>
      </c>
      <c r="U22" s="13">
        <f>Assumptions!$C$22/2</f>
        <v>1.9926499999999999E-3</v>
      </c>
      <c r="V22" s="32">
        <f t="shared" ref="V22:V29" si="4">SUM(B22:U22)</f>
        <v>4.782359999999998E-2</v>
      </c>
      <c r="W22" s="13">
        <f t="shared" ref="W22:W29" si="5">V22/20</f>
        <v>2.3911799999999988E-3</v>
      </c>
    </row>
    <row r="23" spans="1:23" s="22" customFormat="1">
      <c r="A23" s="18" t="s">
        <v>29</v>
      </c>
      <c r="B23" s="13">
        <f>Assumptions!$C$23</f>
        <v>3.1069500000000002E-3</v>
      </c>
      <c r="C23" s="13">
        <f>Assumptions!$C$23</f>
        <v>3.1069500000000002E-3</v>
      </c>
      <c r="D23" s="13">
        <f>Assumptions!$C$23</f>
        <v>3.1069500000000002E-3</v>
      </c>
      <c r="E23" s="13">
        <f>Assumptions!$C$23</f>
        <v>3.1069500000000002E-3</v>
      </c>
      <c r="F23" s="13">
        <f>Assumptions!$C$23/2</f>
        <v>1.5534750000000001E-3</v>
      </c>
      <c r="G23" s="13">
        <f>Assumptions!$C$23/2</f>
        <v>1.5534750000000001E-3</v>
      </c>
      <c r="H23" s="13">
        <f>Assumptions!$C$23/2</f>
        <v>1.5534750000000001E-3</v>
      </c>
      <c r="I23" s="13">
        <f>Assumptions!$C$23/2</f>
        <v>1.5534750000000001E-3</v>
      </c>
      <c r="J23" s="13">
        <f>Assumptions!$C$23/2</f>
        <v>1.5534750000000001E-3</v>
      </c>
      <c r="K23" s="13">
        <f>Assumptions!$C$23/2</f>
        <v>1.5534750000000001E-3</v>
      </c>
      <c r="L23" s="13">
        <f>Assumptions!$C$23/2</f>
        <v>1.5534750000000001E-3</v>
      </c>
      <c r="M23" s="13">
        <f>Assumptions!$C$23/2</f>
        <v>1.5534750000000001E-3</v>
      </c>
      <c r="N23" s="13">
        <f>Assumptions!$C$23/2</f>
        <v>1.5534750000000001E-3</v>
      </c>
      <c r="O23" s="13">
        <f>Assumptions!$C$23/2</f>
        <v>1.5534750000000001E-3</v>
      </c>
      <c r="P23" s="13">
        <f>Assumptions!$C$23/2</f>
        <v>1.5534750000000001E-3</v>
      </c>
      <c r="Q23" s="13">
        <f>Assumptions!$C$23/2</f>
        <v>1.5534750000000001E-3</v>
      </c>
      <c r="R23" s="13">
        <f>Assumptions!$C$23/2</f>
        <v>1.5534750000000001E-3</v>
      </c>
      <c r="S23" s="13">
        <f>Assumptions!$C$23/2</f>
        <v>1.5534750000000001E-3</v>
      </c>
      <c r="T23" s="13">
        <f>Assumptions!$C$23/2</f>
        <v>1.5534750000000001E-3</v>
      </c>
      <c r="U23" s="13">
        <f>Assumptions!$C$23/2</f>
        <v>1.5534750000000001E-3</v>
      </c>
      <c r="V23" s="32">
        <f t="shared" si="4"/>
        <v>3.7283399999999987E-2</v>
      </c>
      <c r="W23" s="13">
        <f t="shared" si="5"/>
        <v>1.8641699999999994E-3</v>
      </c>
    </row>
    <row r="24" spans="1:23" s="22" customFormat="1" ht="15.75" customHeight="1">
      <c r="A24" s="19" t="s">
        <v>26</v>
      </c>
      <c r="B24" s="13">
        <f>Assumptions!$C$24</f>
        <v>2.6875500000000004E-3</v>
      </c>
      <c r="C24" s="13">
        <f>Assumptions!$C$24</f>
        <v>2.6875500000000004E-3</v>
      </c>
      <c r="D24" s="13">
        <f>Assumptions!$C$24</f>
        <v>2.6875500000000004E-3</v>
      </c>
      <c r="E24" s="13">
        <f>Assumptions!$C$24</f>
        <v>2.6875500000000004E-3</v>
      </c>
      <c r="F24" s="13">
        <f>Assumptions!$C$24/2</f>
        <v>1.3437750000000002E-3</v>
      </c>
      <c r="G24" s="13">
        <f>Assumptions!$C$24/2</f>
        <v>1.3437750000000002E-3</v>
      </c>
      <c r="H24" s="13">
        <f>Assumptions!$C$24/2</f>
        <v>1.3437750000000002E-3</v>
      </c>
      <c r="I24" s="13">
        <f>Assumptions!$C$24/2</f>
        <v>1.3437750000000002E-3</v>
      </c>
      <c r="J24" s="13">
        <f>Assumptions!$C$24/2</f>
        <v>1.3437750000000002E-3</v>
      </c>
      <c r="K24" s="13">
        <f>Assumptions!$C$24/2</f>
        <v>1.3437750000000002E-3</v>
      </c>
      <c r="L24" s="13">
        <f>Assumptions!$C$24/2</f>
        <v>1.3437750000000002E-3</v>
      </c>
      <c r="M24" s="13">
        <f>Assumptions!$C$24/2</f>
        <v>1.3437750000000002E-3</v>
      </c>
      <c r="N24" s="13">
        <f>Assumptions!$C$24/2</f>
        <v>1.3437750000000002E-3</v>
      </c>
      <c r="O24" s="13">
        <f>Assumptions!$C$24/2</f>
        <v>1.3437750000000002E-3</v>
      </c>
      <c r="P24" s="13">
        <f>Assumptions!$C$24/2</f>
        <v>1.3437750000000002E-3</v>
      </c>
      <c r="Q24" s="13">
        <f>Assumptions!$C$24/2</f>
        <v>1.3437750000000002E-3</v>
      </c>
      <c r="R24" s="13">
        <f>Assumptions!$C$24/2</f>
        <v>1.3437750000000002E-3</v>
      </c>
      <c r="S24" s="13">
        <f>Assumptions!$C$24/2</f>
        <v>1.3437750000000002E-3</v>
      </c>
      <c r="T24" s="13">
        <f>Assumptions!$C$24/2</f>
        <v>1.3437750000000002E-3</v>
      </c>
      <c r="U24" s="13">
        <f>Assumptions!$C$24/2</f>
        <v>1.3437750000000002E-3</v>
      </c>
      <c r="V24" s="32">
        <f t="shared" si="4"/>
        <v>3.2250599999999983E-2</v>
      </c>
      <c r="W24" s="13">
        <f t="shared" si="5"/>
        <v>1.6125299999999992E-3</v>
      </c>
    </row>
    <row r="25" spans="1:23" s="22" customFormat="1">
      <c r="A25" s="19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32"/>
      <c r="W25" s="13"/>
    </row>
    <row r="26" spans="1:23" s="22" customFormat="1">
      <c r="A26" s="30" t="s">
        <v>38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32"/>
      <c r="W26" s="13"/>
    </row>
    <row r="27" spans="1:23" s="22" customFormat="1">
      <c r="A27" s="4" t="s">
        <v>15</v>
      </c>
      <c r="B27" s="13">
        <f>SUM(B12:B15)</f>
        <v>2.5269100000000003E-2</v>
      </c>
      <c r="C27" s="13">
        <f t="shared" ref="C27:U27" si="6">SUM(C12:C15)</f>
        <v>0</v>
      </c>
      <c r="D27" s="13">
        <f t="shared" si="6"/>
        <v>0</v>
      </c>
      <c r="E27" s="13">
        <f t="shared" si="6"/>
        <v>0</v>
      </c>
      <c r="F27" s="13">
        <f t="shared" si="6"/>
        <v>0</v>
      </c>
      <c r="G27" s="13">
        <f t="shared" si="6"/>
        <v>0</v>
      </c>
      <c r="H27" s="13">
        <f t="shared" si="6"/>
        <v>0</v>
      </c>
      <c r="I27" s="13">
        <f t="shared" si="6"/>
        <v>0</v>
      </c>
      <c r="J27" s="13">
        <f t="shared" si="6"/>
        <v>0</v>
      </c>
      <c r="K27" s="13">
        <f t="shared" si="6"/>
        <v>0</v>
      </c>
      <c r="L27" s="13">
        <f t="shared" si="6"/>
        <v>0</v>
      </c>
      <c r="M27" s="13">
        <f t="shared" si="6"/>
        <v>0</v>
      </c>
      <c r="N27" s="13">
        <f t="shared" si="6"/>
        <v>0</v>
      </c>
      <c r="O27" s="13">
        <f t="shared" si="6"/>
        <v>0</v>
      </c>
      <c r="P27" s="13">
        <f t="shared" si="6"/>
        <v>0</v>
      </c>
      <c r="Q27" s="13">
        <f t="shared" si="6"/>
        <v>0</v>
      </c>
      <c r="R27" s="13">
        <f t="shared" si="6"/>
        <v>0</v>
      </c>
      <c r="S27" s="13">
        <f t="shared" si="6"/>
        <v>0</v>
      </c>
      <c r="T27" s="13">
        <f t="shared" si="6"/>
        <v>0</v>
      </c>
      <c r="U27" s="13">
        <f t="shared" si="6"/>
        <v>0</v>
      </c>
      <c r="V27" s="32">
        <f t="shared" ref="V27:V28" si="7">SUM(B27:U27)</f>
        <v>2.5269100000000003E-2</v>
      </c>
      <c r="W27" s="13">
        <f t="shared" ref="W27:W28" si="8">V27/20</f>
        <v>1.2634550000000001E-3</v>
      </c>
    </row>
    <row r="28" spans="1:23" s="22" customFormat="1">
      <c r="A28" s="16" t="s">
        <v>16</v>
      </c>
      <c r="B28" s="13">
        <f>SUM(B19:B24)</f>
        <v>1.4779800000000001E-2</v>
      </c>
      <c r="C28" s="13">
        <f t="shared" ref="C28:U28" si="9">SUM(C19:C24)</f>
        <v>1.4779800000000001E-2</v>
      </c>
      <c r="D28" s="13">
        <f t="shared" si="9"/>
        <v>1.4779800000000001E-2</v>
      </c>
      <c r="E28" s="13">
        <f t="shared" si="9"/>
        <v>1.4779800000000001E-2</v>
      </c>
      <c r="F28" s="13">
        <f t="shared" si="9"/>
        <v>9.8899000000000001E-3</v>
      </c>
      <c r="G28" s="13">
        <f t="shared" si="9"/>
        <v>9.8899000000000001E-3</v>
      </c>
      <c r="H28" s="13">
        <f t="shared" si="9"/>
        <v>9.8899000000000001E-3</v>
      </c>
      <c r="I28" s="13">
        <f t="shared" si="9"/>
        <v>9.8899000000000001E-3</v>
      </c>
      <c r="J28" s="13">
        <f t="shared" si="9"/>
        <v>9.8899000000000001E-3</v>
      </c>
      <c r="K28" s="13">
        <f t="shared" si="9"/>
        <v>9.8899000000000001E-3</v>
      </c>
      <c r="L28" s="13">
        <f t="shared" si="9"/>
        <v>9.8899000000000001E-3</v>
      </c>
      <c r="M28" s="13">
        <f t="shared" si="9"/>
        <v>9.8899000000000001E-3</v>
      </c>
      <c r="N28" s="13">
        <f t="shared" si="9"/>
        <v>9.8899000000000001E-3</v>
      </c>
      <c r="O28" s="13">
        <f t="shared" si="9"/>
        <v>9.8899000000000001E-3</v>
      </c>
      <c r="P28" s="13">
        <f t="shared" si="9"/>
        <v>9.8899000000000001E-3</v>
      </c>
      <c r="Q28" s="13">
        <f t="shared" si="9"/>
        <v>9.8899000000000001E-3</v>
      </c>
      <c r="R28" s="13">
        <f t="shared" si="9"/>
        <v>9.8899000000000001E-3</v>
      </c>
      <c r="S28" s="13">
        <f t="shared" si="9"/>
        <v>9.8899000000000001E-3</v>
      </c>
      <c r="T28" s="13">
        <f t="shared" si="9"/>
        <v>9.8899000000000001E-3</v>
      </c>
      <c r="U28" s="13">
        <f t="shared" si="9"/>
        <v>9.8899000000000001E-3</v>
      </c>
      <c r="V28" s="32">
        <f t="shared" si="7"/>
        <v>0.2173576000000001</v>
      </c>
      <c r="W28" s="13">
        <f t="shared" si="8"/>
        <v>1.0867880000000005E-2</v>
      </c>
    </row>
    <row r="29" spans="1:23" s="22" customFormat="1">
      <c r="A29" s="3" t="s">
        <v>2</v>
      </c>
      <c r="B29" s="28">
        <f>SUM(B12:B15,B19:B24)</f>
        <v>4.0048899999999998E-2</v>
      </c>
      <c r="C29" s="28">
        <f t="shared" ref="C29:U29" si="10">SUM(C12:C15,C19:C24)</f>
        <v>1.4779800000000001E-2</v>
      </c>
      <c r="D29" s="28">
        <f t="shared" si="10"/>
        <v>1.4779800000000001E-2</v>
      </c>
      <c r="E29" s="28">
        <f t="shared" si="10"/>
        <v>1.4779800000000001E-2</v>
      </c>
      <c r="F29" s="28">
        <f t="shared" si="10"/>
        <v>9.8899000000000001E-3</v>
      </c>
      <c r="G29" s="28">
        <f t="shared" si="10"/>
        <v>9.8899000000000001E-3</v>
      </c>
      <c r="H29" s="28">
        <f t="shared" si="10"/>
        <v>9.8899000000000001E-3</v>
      </c>
      <c r="I29" s="28">
        <f t="shared" si="10"/>
        <v>9.8899000000000001E-3</v>
      </c>
      <c r="J29" s="28">
        <f t="shared" si="10"/>
        <v>9.8899000000000001E-3</v>
      </c>
      <c r="K29" s="28">
        <f t="shared" si="10"/>
        <v>9.8899000000000001E-3</v>
      </c>
      <c r="L29" s="28">
        <f t="shared" si="10"/>
        <v>9.8899000000000001E-3</v>
      </c>
      <c r="M29" s="28">
        <f t="shared" si="10"/>
        <v>9.8899000000000001E-3</v>
      </c>
      <c r="N29" s="28">
        <f t="shared" si="10"/>
        <v>9.8899000000000001E-3</v>
      </c>
      <c r="O29" s="28">
        <f t="shared" si="10"/>
        <v>9.8899000000000001E-3</v>
      </c>
      <c r="P29" s="28">
        <f t="shared" si="10"/>
        <v>9.8899000000000001E-3</v>
      </c>
      <c r="Q29" s="28">
        <f t="shared" si="10"/>
        <v>9.8899000000000001E-3</v>
      </c>
      <c r="R29" s="28">
        <f t="shared" si="10"/>
        <v>9.8899000000000001E-3</v>
      </c>
      <c r="S29" s="28">
        <f t="shared" si="10"/>
        <v>9.8899000000000001E-3</v>
      </c>
      <c r="T29" s="28">
        <f t="shared" si="10"/>
        <v>9.8899000000000001E-3</v>
      </c>
      <c r="U29" s="28">
        <f t="shared" si="10"/>
        <v>9.8899000000000001E-3</v>
      </c>
      <c r="V29" s="33">
        <f t="shared" si="4"/>
        <v>0.24262670000000011</v>
      </c>
      <c r="W29" s="28">
        <f t="shared" si="5"/>
        <v>1.2131335000000005E-2</v>
      </c>
    </row>
    <row r="30" spans="1:23">
      <c r="A30" s="20" t="s">
        <v>1</v>
      </c>
      <c r="B30" s="13">
        <f>1/(1+3.5%)^B$8</f>
        <v>0.96618357487922713</v>
      </c>
      <c r="C30" s="13">
        <f t="shared" ref="C30:U30" si="11">1/(1+3.5%)^C$8</f>
        <v>0.93351070036640305</v>
      </c>
      <c r="D30" s="13">
        <f t="shared" si="11"/>
        <v>0.90194270566802237</v>
      </c>
      <c r="E30" s="13">
        <f t="shared" si="11"/>
        <v>0.87144222769857238</v>
      </c>
      <c r="F30" s="13">
        <f t="shared" si="11"/>
        <v>0.84197316685852419</v>
      </c>
      <c r="G30" s="13">
        <f t="shared" si="11"/>
        <v>0.81350064430775282</v>
      </c>
      <c r="H30" s="13">
        <f t="shared" si="11"/>
        <v>0.78599096068381913</v>
      </c>
      <c r="I30" s="13">
        <f t="shared" si="11"/>
        <v>0.75941155621625056</v>
      </c>
      <c r="J30" s="13">
        <f t="shared" si="11"/>
        <v>0.73373097218961414</v>
      </c>
      <c r="K30" s="13">
        <f t="shared" si="11"/>
        <v>0.70891881370977217</v>
      </c>
      <c r="L30" s="13">
        <f t="shared" si="11"/>
        <v>0.68494571372924851</v>
      </c>
      <c r="M30" s="13">
        <f t="shared" si="11"/>
        <v>0.66178329828912896</v>
      </c>
      <c r="N30" s="13">
        <f t="shared" si="11"/>
        <v>0.63940415293635666</v>
      </c>
      <c r="O30" s="13">
        <f t="shared" si="11"/>
        <v>0.61778179027667302</v>
      </c>
      <c r="P30" s="13">
        <f t="shared" si="11"/>
        <v>0.59689061862480497</v>
      </c>
      <c r="Q30" s="13">
        <f t="shared" si="11"/>
        <v>0.57670591171478747</v>
      </c>
      <c r="R30" s="13">
        <f t="shared" si="11"/>
        <v>0.55720377943457733</v>
      </c>
      <c r="S30" s="13">
        <f t="shared" si="11"/>
        <v>0.53836113955031628</v>
      </c>
      <c r="T30" s="13">
        <f t="shared" si="11"/>
        <v>0.52015569038677911</v>
      </c>
      <c r="U30" s="13">
        <f t="shared" si="11"/>
        <v>0.50256588443167061</v>
      </c>
      <c r="V30" s="32"/>
      <c r="W30" s="13"/>
    </row>
    <row r="31" spans="1:23" s="3" customFormat="1">
      <c r="A31" s="3" t="s">
        <v>33</v>
      </c>
      <c r="B31" s="28">
        <f t="shared" ref="B31:U31" si="12">B30*B29</f>
        <v>3.8694589371980677E-2</v>
      </c>
      <c r="C31" s="28">
        <f t="shared" si="12"/>
        <v>1.3797101449275364E-2</v>
      </c>
      <c r="D31" s="28">
        <f t="shared" si="12"/>
        <v>1.3330532801232238E-2</v>
      </c>
      <c r="E31" s="28">
        <f t="shared" si="12"/>
        <v>1.2879741836939362E-2</v>
      </c>
      <c r="F31" s="28">
        <f t="shared" si="12"/>
        <v>8.3270304229141178E-3</v>
      </c>
      <c r="G31" s="28">
        <f t="shared" si="12"/>
        <v>8.0454400221392445E-3</v>
      </c>
      <c r="H31" s="28">
        <f t="shared" si="12"/>
        <v>7.7733720020669028E-3</v>
      </c>
      <c r="I31" s="28">
        <f t="shared" si="12"/>
        <v>7.5105043498230961E-3</v>
      </c>
      <c r="J31" s="28">
        <f t="shared" si="12"/>
        <v>7.2565259418580653E-3</v>
      </c>
      <c r="K31" s="28">
        <f t="shared" si="12"/>
        <v>7.0111361757082755E-3</v>
      </c>
      <c r="L31" s="28">
        <f t="shared" si="12"/>
        <v>6.7740446142108947E-3</v>
      </c>
      <c r="M31" s="28">
        <f t="shared" si="12"/>
        <v>6.5449706417496567E-3</v>
      </c>
      <c r="N31" s="28">
        <f t="shared" si="12"/>
        <v>6.3236431321252737E-3</v>
      </c>
      <c r="O31" s="28">
        <f t="shared" si="12"/>
        <v>6.1098001276572687E-3</v>
      </c>
      <c r="P31" s="28">
        <f t="shared" si="12"/>
        <v>5.9031885291374589E-3</v>
      </c>
      <c r="Q31" s="28">
        <f t="shared" si="12"/>
        <v>5.7035637962680767E-3</v>
      </c>
      <c r="R31" s="28">
        <f t="shared" si="12"/>
        <v>5.5106896582300261E-3</v>
      </c>
      <c r="S31" s="28">
        <f t="shared" si="12"/>
        <v>5.3243378340386734E-3</v>
      </c>
      <c r="T31" s="28">
        <f t="shared" si="12"/>
        <v>5.1442877623562068E-3</v>
      </c>
      <c r="U31" s="28">
        <f t="shared" si="12"/>
        <v>4.9703263404407795E-3</v>
      </c>
      <c r="V31" s="34">
        <f>SUM(B31:U31)</f>
        <v>0.18293482681015169</v>
      </c>
      <c r="W31" s="28"/>
    </row>
    <row r="32" spans="1:23" ht="13.5" thickBo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35"/>
      <c r="W32" s="12"/>
    </row>
  </sheetData>
  <sheetProtection password="8725" sheet="1" objects="1" scenarios="1"/>
  <mergeCells count="5">
    <mergeCell ref="A4:W4"/>
    <mergeCell ref="V7:V8"/>
    <mergeCell ref="W7:W8"/>
    <mergeCell ref="A6:W6"/>
    <mergeCell ref="A2:W2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Assumptions</vt:lpstr>
      <vt:lpstr>Calculations</vt:lpstr>
      <vt:lpstr>Calculations!Print_Area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M291374</cp:lastModifiedBy>
  <dcterms:created xsi:type="dcterms:W3CDTF">2010-11-05T07:40:47Z</dcterms:created>
  <dcterms:modified xsi:type="dcterms:W3CDTF">2012-07-19T08:11:47Z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203141070</vt:i4>
  </property>
  <property fmtid="{D5CDD505-2E9C-101B-9397-08002B2CF9AE}" pid="4" name="_EmailSubject">
    <vt:lpwstr/>
  </property>
  <property fmtid="{D5CDD505-2E9C-101B-9397-08002B2CF9AE}" pid="5" name="_AuthorEmail">
    <vt:lpwstr>Carolyn.Worfolk@naturalengland.org.uk</vt:lpwstr>
  </property>
  <property fmtid="{D5CDD505-2E9C-101B-9397-08002B2CF9AE}" pid="6" name="_AuthorEmailDisplayName">
    <vt:lpwstr>Worfolk, Carolyn (NE)</vt:lpwstr>
  </property>
  <property fmtid="{D5CDD505-2E9C-101B-9397-08002B2CF9AE}" pid="7" name="_ReviewingToolsShownOnce">
    <vt:lpwstr/>
  </property>
</Properties>
</file>