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895" yWindow="45" windowWidth="10665" windowHeight="7995"/>
  </bookViews>
  <sheets>
    <sheet name="Totals &amp; Present Value" sheetId="1" r:id="rId1"/>
    <sheet name="Charter Boats" sheetId="2" r:id="rId2"/>
    <sheet name="rMCZ 19 Norris to Ryde" sheetId="3" r:id="rId3"/>
    <sheet name="rMCZ 22 Bembridge" sheetId="4" r:id="rId4"/>
    <sheet name="rMCZ 23 Yarmouth to Cowes" sheetId="5" r:id="rId5"/>
    <sheet name="rMCZ RA 3 Holehaven Creek" sheetId="6" r:id="rId6"/>
    <sheet name="rMCZ RA24 Harwich Haven" sheetId="9" r:id="rId7"/>
    <sheet name="rMCZ Studland Bay" sheetId="7" r:id="rId8"/>
    <sheet name="rMCZ RA The Fal" sheetId="8" r:id="rId9"/>
    <sheet name="Sheet1" sheetId="10" r:id="rId10"/>
  </sheets>
  <calcPr calcId="125725"/>
  <customWorkbookViews>
    <customWorkbookView name="some7923 - Personal View" guid="{501AA260-4F68-4F83-9D73-4CAC5C0FE660}" mergeInterval="0" personalView="1" maximized="1" xWindow="1" yWindow="1" windowWidth="1024" windowHeight="552" activeSheetId="8"/>
    <customWorkbookView name="Group IS - Personal View" guid="{49FA9399-7025-4F3A-8583-7789089E8EA0}" mergeInterval="0" personalView="1" maximized="1" xWindow="1" yWindow="1" windowWidth="1396" windowHeight="832" activeSheetId="9"/>
  </customWorkbookViews>
</workbook>
</file>

<file path=xl/calcChain.xml><?xml version="1.0" encoding="utf-8"?>
<calcChain xmlns="http://schemas.openxmlformats.org/spreadsheetml/2006/main">
  <c r="E17" i="1"/>
  <c r="F17"/>
  <c r="G17"/>
  <c r="H17"/>
  <c r="I17"/>
  <c r="J17"/>
  <c r="K17"/>
  <c r="L17"/>
  <c r="M17"/>
  <c r="N17"/>
  <c r="O17"/>
  <c r="P17"/>
  <c r="Q17"/>
  <c r="R17"/>
  <c r="S17"/>
  <c r="T17"/>
  <c r="U17"/>
  <c r="V17"/>
  <c r="W17"/>
  <c r="E18"/>
  <c r="F18"/>
  <c r="F32" s="1"/>
  <c r="G18"/>
  <c r="H18"/>
  <c r="I18"/>
  <c r="J18"/>
  <c r="K18"/>
  <c r="L18"/>
  <c r="M18"/>
  <c r="N18"/>
  <c r="O18"/>
  <c r="P18"/>
  <c r="Q18"/>
  <c r="R18"/>
  <c r="S18"/>
  <c r="T18"/>
  <c r="U18"/>
  <c r="V18"/>
  <c r="V32" s="1"/>
  <c r="W18"/>
  <c r="Z22"/>
  <c r="Z21"/>
  <c r="Z20"/>
  <c r="Z15"/>
  <c r="Z16"/>
  <c r="Z14"/>
  <c r="D120"/>
  <c r="E120"/>
  <c r="F120"/>
  <c r="D121"/>
  <c r="E121"/>
  <c r="F121"/>
  <c r="D122"/>
  <c r="E122"/>
  <c r="F122"/>
  <c r="H120"/>
  <c r="I120"/>
  <c r="J120"/>
  <c r="K120"/>
  <c r="L120"/>
  <c r="M120"/>
  <c r="N120"/>
  <c r="O120"/>
  <c r="P120"/>
  <c r="Q120"/>
  <c r="R120"/>
  <c r="S120"/>
  <c r="T120"/>
  <c r="U120"/>
  <c r="V120"/>
  <c r="W120"/>
  <c r="H121"/>
  <c r="I121"/>
  <c r="J121"/>
  <c r="K121"/>
  <c r="L121"/>
  <c r="M121"/>
  <c r="N121"/>
  <c r="O121"/>
  <c r="P121"/>
  <c r="Q121"/>
  <c r="R121"/>
  <c r="S121"/>
  <c r="T121"/>
  <c r="U121"/>
  <c r="V121"/>
  <c r="W121"/>
  <c r="H122"/>
  <c r="I122"/>
  <c r="J122"/>
  <c r="K122"/>
  <c r="L122"/>
  <c r="M122"/>
  <c r="N122"/>
  <c r="O122"/>
  <c r="P122"/>
  <c r="Q122"/>
  <c r="R122"/>
  <c r="S122"/>
  <c r="T122"/>
  <c r="U122"/>
  <c r="V122"/>
  <c r="W122"/>
  <c r="G122"/>
  <c r="G121"/>
  <c r="G120"/>
  <c r="E39"/>
  <c r="F39"/>
  <c r="G39"/>
  <c r="H39"/>
  <c r="I39"/>
  <c r="J39"/>
  <c r="K39"/>
  <c r="L39"/>
  <c r="M39"/>
  <c r="N39"/>
  <c r="O39"/>
  <c r="P39"/>
  <c r="Q39"/>
  <c r="R39"/>
  <c r="S39"/>
  <c r="T39"/>
  <c r="U39"/>
  <c r="V39"/>
  <c r="W39"/>
  <c r="W57"/>
  <c r="V57"/>
  <c r="U57"/>
  <c r="T57"/>
  <c r="S57"/>
  <c r="R57"/>
  <c r="Q57"/>
  <c r="P57"/>
  <c r="O57"/>
  <c r="N57"/>
  <c r="M57"/>
  <c r="L57"/>
  <c r="K57"/>
  <c r="J57"/>
  <c r="I57"/>
  <c r="H57"/>
  <c r="G57"/>
  <c r="F57"/>
  <c r="E57"/>
  <c r="W44"/>
  <c r="V44"/>
  <c r="U44"/>
  <c r="T44"/>
  <c r="S44"/>
  <c r="R44"/>
  <c r="Q44"/>
  <c r="P44"/>
  <c r="O44"/>
  <c r="N44"/>
  <c r="M44"/>
  <c r="L44"/>
  <c r="K44"/>
  <c r="J44"/>
  <c r="I44"/>
  <c r="H44"/>
  <c r="G44"/>
  <c r="F44"/>
  <c r="E44"/>
  <c r="N32"/>
  <c r="X22"/>
  <c r="Y22" s="1"/>
  <c r="X21"/>
  <c r="Y21" s="1"/>
  <c r="X16"/>
  <c r="Y16" s="1"/>
  <c r="X15"/>
  <c r="Y15" s="1"/>
  <c r="T32" l="1"/>
  <c r="R32"/>
  <c r="P32"/>
  <c r="L32"/>
  <c r="J32"/>
  <c r="H32"/>
  <c r="X121"/>
  <c r="Y121" s="1"/>
  <c r="Z122"/>
  <c r="Z121"/>
  <c r="X120"/>
  <c r="Y120" s="1"/>
  <c r="W32"/>
  <c r="U32"/>
  <c r="S32"/>
  <c r="Q32"/>
  <c r="O32"/>
  <c r="M32"/>
  <c r="K32"/>
  <c r="I32"/>
  <c r="G32"/>
  <c r="E32"/>
  <c r="X122"/>
  <c r="Y122" s="1"/>
  <c r="Z120"/>
  <c r="X14"/>
  <c r="Y14" s="1"/>
  <c r="X20"/>
  <c r="Y20" s="1"/>
  <c r="E83"/>
  <c r="F83"/>
  <c r="G83"/>
  <c r="H83"/>
  <c r="I83"/>
  <c r="J83"/>
  <c r="K83"/>
  <c r="L83"/>
  <c r="M83"/>
  <c r="N83"/>
  <c r="O83"/>
  <c r="P83"/>
  <c r="Q83"/>
  <c r="R83"/>
  <c r="S83"/>
  <c r="T83"/>
  <c r="U83"/>
  <c r="V83"/>
  <c r="W83"/>
  <c r="B42" i="9"/>
  <c r="D41"/>
  <c r="D40"/>
  <c r="B31"/>
  <c r="B32" s="1"/>
  <c r="D30"/>
  <c r="D29"/>
  <c r="D28"/>
  <c r="D27"/>
  <c r="D26"/>
  <c r="D25"/>
  <c r="D24"/>
  <c r="B22"/>
  <c r="D20"/>
  <c r="D18"/>
  <c r="D17"/>
  <c r="D16"/>
  <c r="B10"/>
  <c r="D19" l="1"/>
  <c r="D42"/>
  <c r="F75" i="1" s="1"/>
  <c r="B33" i="9"/>
  <c r="W75" i="1"/>
  <c r="O75"/>
  <c r="G75"/>
  <c r="T75"/>
  <c r="L75"/>
  <c r="D21" i="9"/>
  <c r="D22" s="1"/>
  <c r="D31"/>
  <c r="D32" s="1"/>
  <c r="E95" i="8"/>
  <c r="C94" s="1"/>
  <c r="C82"/>
  <c r="E25" i="2"/>
  <c r="E26" s="1"/>
  <c r="F26" s="1"/>
  <c r="E18"/>
  <c r="E19" s="1"/>
  <c r="F19" s="1"/>
  <c r="E11"/>
  <c r="F11" s="1"/>
  <c r="E79" i="1" s="1"/>
  <c r="E10" i="2"/>
  <c r="F10" s="1"/>
  <c r="E77" i="1" s="1"/>
  <c r="E9" i="2"/>
  <c r="F9" s="1"/>
  <c r="E81" i="1" s="1"/>
  <c r="E8" i="2"/>
  <c r="W108" i="1"/>
  <c r="V108"/>
  <c r="U108"/>
  <c r="T108"/>
  <c r="S108"/>
  <c r="R108"/>
  <c r="Q108"/>
  <c r="P108"/>
  <c r="O108"/>
  <c r="N108"/>
  <c r="M108"/>
  <c r="L108"/>
  <c r="K108"/>
  <c r="J108"/>
  <c r="I108"/>
  <c r="H108"/>
  <c r="G108"/>
  <c r="F108"/>
  <c r="E108"/>
  <c r="E95"/>
  <c r="F95"/>
  <c r="G95"/>
  <c r="H95"/>
  <c r="I95"/>
  <c r="J95"/>
  <c r="K95"/>
  <c r="L95"/>
  <c r="M95"/>
  <c r="N95"/>
  <c r="O95"/>
  <c r="P95"/>
  <c r="Q95"/>
  <c r="R95"/>
  <c r="S95"/>
  <c r="T95"/>
  <c r="U95"/>
  <c r="V95"/>
  <c r="W95"/>
  <c r="K431" i="8"/>
  <c r="K430"/>
  <c r="K429"/>
  <c r="K428"/>
  <c r="K427"/>
  <c r="K426"/>
  <c r="G425"/>
  <c r="K425" s="1"/>
  <c r="G424"/>
  <c r="K424" s="1"/>
  <c r="G423"/>
  <c r="K423" s="1"/>
  <c r="K422"/>
  <c r="K421"/>
  <c r="K420"/>
  <c r="K419"/>
  <c r="G418"/>
  <c r="K418" s="1"/>
  <c r="G417"/>
  <c r="K417" s="1"/>
  <c r="K416"/>
  <c r="K415"/>
  <c r="K414"/>
  <c r="K413"/>
  <c r="K412"/>
  <c r="G411"/>
  <c r="K411" s="1"/>
  <c r="G410"/>
  <c r="K410" s="1"/>
  <c r="K409"/>
  <c r="K408"/>
  <c r="K407"/>
  <c r="K406"/>
  <c r="G405"/>
  <c r="K405" s="1"/>
  <c r="G404"/>
  <c r="K404" s="1"/>
  <c r="G403"/>
  <c r="K403" s="1"/>
  <c r="G402"/>
  <c r="K402" s="1"/>
  <c r="K401"/>
  <c r="K400"/>
  <c r="K399"/>
  <c r="K398"/>
  <c r="K397"/>
  <c r="G396"/>
  <c r="K396" s="1"/>
  <c r="G395"/>
  <c r="K395" s="1"/>
  <c r="G394"/>
  <c r="K394" s="1"/>
  <c r="K393"/>
  <c r="K392"/>
  <c r="K391"/>
  <c r="K390"/>
  <c r="K389"/>
  <c r="G388"/>
  <c r="K388" s="1"/>
  <c r="G387"/>
  <c r="K387" s="1"/>
  <c r="G386"/>
  <c r="K386" s="1"/>
  <c r="K385"/>
  <c r="G384"/>
  <c r="K384" s="1"/>
  <c r="K383"/>
  <c r="K382"/>
  <c r="K381"/>
  <c r="G380"/>
  <c r="K380" s="1"/>
  <c r="G379"/>
  <c r="K379" s="1"/>
  <c r="G378"/>
  <c r="K378" s="1"/>
  <c r="H377"/>
  <c r="K377" s="1"/>
  <c r="G376"/>
  <c r="K376" s="1"/>
  <c r="H375"/>
  <c r="K375" s="1"/>
  <c r="K374"/>
  <c r="G373"/>
  <c r="K373" s="1"/>
  <c r="K372"/>
  <c r="K371"/>
  <c r="K370"/>
  <c r="J369"/>
  <c r="I369"/>
  <c r="H369"/>
  <c r="G369"/>
  <c r="G368"/>
  <c r="K368" s="1"/>
  <c r="G367"/>
  <c r="K367" s="1"/>
  <c r="G366"/>
  <c r="K366" s="1"/>
  <c r="J365"/>
  <c r="I365"/>
  <c r="H365"/>
  <c r="G365"/>
  <c r="G364"/>
  <c r="K364" s="1"/>
  <c r="J363"/>
  <c r="I363"/>
  <c r="H363"/>
  <c r="G363"/>
  <c r="J362"/>
  <c r="I362"/>
  <c r="H362"/>
  <c r="G362"/>
  <c r="G361"/>
  <c r="K361" s="1"/>
  <c r="G360"/>
  <c r="K360" s="1"/>
  <c r="K359"/>
  <c r="G358"/>
  <c r="K358" s="1"/>
  <c r="G357"/>
  <c r="K357" s="1"/>
  <c r="J356"/>
  <c r="I356"/>
  <c r="H356"/>
  <c r="G356"/>
  <c r="G355"/>
  <c r="K355" s="1"/>
  <c r="J354"/>
  <c r="I354"/>
  <c r="H354"/>
  <c r="G354"/>
  <c r="G353"/>
  <c r="K353" s="1"/>
  <c r="G352"/>
  <c r="K352" s="1"/>
  <c r="G351"/>
  <c r="K351" s="1"/>
  <c r="G350"/>
  <c r="K350" s="1"/>
  <c r="K349"/>
  <c r="G348"/>
  <c r="K348" s="1"/>
  <c r="G347"/>
  <c r="K347" s="1"/>
  <c r="G346"/>
  <c r="K346" s="1"/>
  <c r="G345"/>
  <c r="K345" s="1"/>
  <c r="G344"/>
  <c r="K344" s="1"/>
  <c r="G343"/>
  <c r="K343" s="1"/>
  <c r="G342"/>
  <c r="K342" s="1"/>
  <c r="G341"/>
  <c r="K341" s="1"/>
  <c r="K340"/>
  <c r="G339"/>
  <c r="K339" s="1"/>
  <c r="G338"/>
  <c r="K338" s="1"/>
  <c r="J337"/>
  <c r="I337"/>
  <c r="H337"/>
  <c r="G337"/>
  <c r="G336"/>
  <c r="K336" s="1"/>
  <c r="J335"/>
  <c r="I335"/>
  <c r="H335"/>
  <c r="G335"/>
  <c r="G334"/>
  <c r="K334" s="1"/>
  <c r="G333"/>
  <c r="K333" s="1"/>
  <c r="J332"/>
  <c r="I332"/>
  <c r="H332"/>
  <c r="G332"/>
  <c r="H331"/>
  <c r="G331"/>
  <c r="H330"/>
  <c r="G330"/>
  <c r="G329"/>
  <c r="K329" s="1"/>
  <c r="H328"/>
  <c r="G328"/>
  <c r="G327"/>
  <c r="K327" s="1"/>
  <c r="H326"/>
  <c r="G326"/>
  <c r="H325"/>
  <c r="G325"/>
  <c r="G324"/>
  <c r="K324" s="1"/>
  <c r="H323"/>
  <c r="G323"/>
  <c r="G322"/>
  <c r="K322" s="1"/>
  <c r="H321"/>
  <c r="G321"/>
  <c r="G320"/>
  <c r="K320" s="1"/>
  <c r="G319"/>
  <c r="K319" s="1"/>
  <c r="G318"/>
  <c r="K318" s="1"/>
  <c r="G317"/>
  <c r="K317" s="1"/>
  <c r="G316"/>
  <c r="K316" s="1"/>
  <c r="K315"/>
  <c r="G314"/>
  <c r="K314" s="1"/>
  <c r="B314"/>
  <c r="B315" s="1"/>
  <c r="B316" s="1"/>
  <c r="B317" s="1"/>
  <c r="G313"/>
  <c r="K313" s="1"/>
  <c r="B313"/>
  <c r="I312"/>
  <c r="H311"/>
  <c r="G311"/>
  <c r="G310"/>
  <c r="B310"/>
  <c r="I309"/>
  <c r="H308"/>
  <c r="G308"/>
  <c r="G307"/>
  <c r="B307"/>
  <c r="I306"/>
  <c r="H305"/>
  <c r="G305"/>
  <c r="G304"/>
  <c r="I303"/>
  <c r="H302"/>
  <c r="G302"/>
  <c r="G301"/>
  <c r="H301" s="1"/>
  <c r="I300"/>
  <c r="H299"/>
  <c r="G299"/>
  <c r="G298"/>
  <c r="I297"/>
  <c r="H296"/>
  <c r="G296"/>
  <c r="G295"/>
  <c r="I294"/>
  <c r="H293"/>
  <c r="G293"/>
  <c r="G292"/>
  <c r="G291"/>
  <c r="K291" s="1"/>
  <c r="G290"/>
  <c r="K290" s="1"/>
  <c r="G289"/>
  <c r="K289" s="1"/>
  <c r="G288"/>
  <c r="K288" s="1"/>
  <c r="G287"/>
  <c r="K287" s="1"/>
  <c r="G286"/>
  <c r="K286" s="1"/>
  <c r="K285"/>
  <c r="G284"/>
  <c r="K284" s="1"/>
  <c r="G283"/>
  <c r="K283" s="1"/>
  <c r="G282"/>
  <c r="K282" s="1"/>
  <c r="G281"/>
  <c r="K281" s="1"/>
  <c r="G280"/>
  <c r="K280" s="1"/>
  <c r="J279"/>
  <c r="H279"/>
  <c r="G278"/>
  <c r="K278" s="1"/>
  <c r="J277"/>
  <c r="H277"/>
  <c r="G276"/>
  <c r="K276" s="1"/>
  <c r="J275"/>
  <c r="H275"/>
  <c r="J274"/>
  <c r="H274"/>
  <c r="J273"/>
  <c r="H273"/>
  <c r="G272"/>
  <c r="K272" s="1"/>
  <c r="J271"/>
  <c r="H271"/>
  <c r="G270"/>
  <c r="K270" s="1"/>
  <c r="G269"/>
  <c r="K269" s="1"/>
  <c r="G268"/>
  <c r="K268" s="1"/>
  <c r="G267"/>
  <c r="K267" s="1"/>
  <c r="I266"/>
  <c r="G266"/>
  <c r="I265"/>
  <c r="G265"/>
  <c r="G264"/>
  <c r="K264" s="1"/>
  <c r="I263"/>
  <c r="G263"/>
  <c r="G262"/>
  <c r="K262" s="1"/>
  <c r="K261"/>
  <c r="G260"/>
  <c r="K260" s="1"/>
  <c r="G259"/>
  <c r="K259" s="1"/>
  <c r="G258"/>
  <c r="K258" s="1"/>
  <c r="G257"/>
  <c r="K257" s="1"/>
  <c r="G256"/>
  <c r="K256" s="1"/>
  <c r="G255"/>
  <c r="K255" s="1"/>
  <c r="G254"/>
  <c r="K254" s="1"/>
  <c r="G253"/>
  <c r="K253" s="1"/>
  <c r="K252"/>
  <c r="G251"/>
  <c r="K251" s="1"/>
  <c r="G250"/>
  <c r="K250" s="1"/>
  <c r="G249"/>
  <c r="K249" s="1"/>
  <c r="G248"/>
  <c r="K248" s="1"/>
  <c r="G247"/>
  <c r="K247" s="1"/>
  <c r="G246"/>
  <c r="K246" s="1"/>
  <c r="K245"/>
  <c r="G244"/>
  <c r="K244" s="1"/>
  <c r="K243"/>
  <c r="G242"/>
  <c r="K242" s="1"/>
  <c r="G241"/>
  <c r="K241" s="1"/>
  <c r="G240"/>
  <c r="K240" s="1"/>
  <c r="G239"/>
  <c r="K239" s="1"/>
  <c r="G238"/>
  <c r="K238" s="1"/>
  <c r="G237"/>
  <c r="K237" s="1"/>
  <c r="K236"/>
  <c r="G235"/>
  <c r="K235" s="1"/>
  <c r="H234"/>
  <c r="K234" s="1"/>
  <c r="G233"/>
  <c r="K233" s="1"/>
  <c r="G232"/>
  <c r="K232" s="1"/>
  <c r="G231"/>
  <c r="K231" s="1"/>
  <c r="G230"/>
  <c r="K230" s="1"/>
  <c r="G229"/>
  <c r="K229" s="1"/>
  <c r="G228"/>
  <c r="K228" s="1"/>
  <c r="G227"/>
  <c r="K227" s="1"/>
  <c r="K226"/>
  <c r="G225"/>
  <c r="K225" s="1"/>
  <c r="G224"/>
  <c r="K224" s="1"/>
  <c r="G223"/>
  <c r="K223" s="1"/>
  <c r="G222"/>
  <c r="K222" s="1"/>
  <c r="G221"/>
  <c r="K221" s="1"/>
  <c r="G220"/>
  <c r="K220" s="1"/>
  <c r="G219"/>
  <c r="K219" s="1"/>
  <c r="G218"/>
  <c r="K218" s="1"/>
  <c r="K217"/>
  <c r="G216"/>
  <c r="K216" s="1"/>
  <c r="K215"/>
  <c r="H214"/>
  <c r="G214"/>
  <c r="G213"/>
  <c r="K213" s="1"/>
  <c r="G212"/>
  <c r="K212" s="1"/>
  <c r="G211"/>
  <c r="K211" s="1"/>
  <c r="G210"/>
  <c r="K210" s="1"/>
  <c r="H209"/>
  <c r="G209"/>
  <c r="J208"/>
  <c r="H208"/>
  <c r="G207"/>
  <c r="K207" s="1"/>
  <c r="J206"/>
  <c r="H206"/>
  <c r="G205"/>
  <c r="K205" s="1"/>
  <c r="G204"/>
  <c r="K204" s="1"/>
  <c r="G203"/>
  <c r="K203" s="1"/>
  <c r="K202"/>
  <c r="G201"/>
  <c r="K201" s="1"/>
  <c r="K200"/>
  <c r="G199"/>
  <c r="K199" s="1"/>
  <c r="G198"/>
  <c r="K198" s="1"/>
  <c r="G197"/>
  <c r="K197" s="1"/>
  <c r="H196"/>
  <c r="G196"/>
  <c r="G195"/>
  <c r="K195" s="1"/>
  <c r="G194"/>
  <c r="K194" s="1"/>
  <c r="H193"/>
  <c r="G193"/>
  <c r="H192"/>
  <c r="G192"/>
  <c r="H191"/>
  <c r="G191"/>
  <c r="G190"/>
  <c r="K190" s="1"/>
  <c r="H189"/>
  <c r="G189"/>
  <c r="G188"/>
  <c r="K188" s="1"/>
  <c r="H187"/>
  <c r="G187"/>
  <c r="H186"/>
  <c r="G186"/>
  <c r="G185"/>
  <c r="K185" s="1"/>
  <c r="H184"/>
  <c r="G184"/>
  <c r="G183"/>
  <c r="K183" s="1"/>
  <c r="G182"/>
  <c r="K182" s="1"/>
  <c r="H181"/>
  <c r="G181"/>
  <c r="J180"/>
  <c r="I180"/>
  <c r="H180"/>
  <c r="G180"/>
  <c r="G179"/>
  <c r="K179" s="1"/>
  <c r="G178"/>
  <c r="K178" s="1"/>
  <c r="H177"/>
  <c r="G177"/>
  <c r="J176"/>
  <c r="I176"/>
  <c r="H176"/>
  <c r="G176"/>
  <c r="J175"/>
  <c r="I175"/>
  <c r="H175"/>
  <c r="G175"/>
  <c r="G174"/>
  <c r="K174" s="1"/>
  <c r="G173"/>
  <c r="K173" s="1"/>
  <c r="K172"/>
  <c r="G171"/>
  <c r="K171" s="1"/>
  <c r="J170"/>
  <c r="H170"/>
  <c r="J169"/>
  <c r="H169"/>
  <c r="G168"/>
  <c r="K168" s="1"/>
  <c r="G167"/>
  <c r="K167" s="1"/>
  <c r="J166"/>
  <c r="H166"/>
  <c r="J165"/>
  <c r="H165"/>
  <c r="G164"/>
  <c r="K164" s="1"/>
  <c r="G163"/>
  <c r="K163" s="1"/>
  <c r="J162"/>
  <c r="H162"/>
  <c r="J161"/>
  <c r="H161"/>
  <c r="J160"/>
  <c r="H160"/>
  <c r="G159"/>
  <c r="K159" s="1"/>
  <c r="J158"/>
  <c r="H158"/>
  <c r="G157"/>
  <c r="K157" s="1"/>
  <c r="K156"/>
  <c r="G155"/>
  <c r="K155" s="1"/>
  <c r="G154"/>
  <c r="K154" s="1"/>
  <c r="G153"/>
  <c r="K153" s="1"/>
  <c r="G152"/>
  <c r="K152" s="1"/>
  <c r="G151"/>
  <c r="K151" s="1"/>
  <c r="G150"/>
  <c r="K150" s="1"/>
  <c r="G149"/>
  <c r="K149" s="1"/>
  <c r="G148"/>
  <c r="K148" s="1"/>
  <c r="K147"/>
  <c r="G146"/>
  <c r="K146" s="1"/>
  <c r="G145"/>
  <c r="K145" s="1"/>
  <c r="G144"/>
  <c r="K144" s="1"/>
  <c r="G143"/>
  <c r="K143" s="1"/>
  <c r="G142"/>
  <c r="K142" s="1"/>
  <c r="G141"/>
  <c r="K141" s="1"/>
  <c r="G140"/>
  <c r="K140" s="1"/>
  <c r="G139"/>
  <c r="K139" s="1"/>
  <c r="K138"/>
  <c r="G137"/>
  <c r="K137" s="1"/>
  <c r="G136"/>
  <c r="K136" s="1"/>
  <c r="G135"/>
  <c r="K135" s="1"/>
  <c r="G134"/>
  <c r="K134" s="1"/>
  <c r="K133"/>
  <c r="G132"/>
  <c r="K132" s="1"/>
  <c r="G131"/>
  <c r="K131" s="1"/>
  <c r="K130"/>
  <c r="G129"/>
  <c r="K129" s="1"/>
  <c r="K128"/>
  <c r="G127"/>
  <c r="K127" s="1"/>
  <c r="K126"/>
  <c r="G125"/>
  <c r="K125" s="1"/>
  <c r="G124"/>
  <c r="K124" s="1"/>
  <c r="K123"/>
  <c r="G122"/>
  <c r="K122" s="1"/>
  <c r="K121"/>
  <c r="G120"/>
  <c r="K120" s="1"/>
  <c r="K119"/>
  <c r="G118"/>
  <c r="K118" s="1"/>
  <c r="G117"/>
  <c r="K117" s="1"/>
  <c r="K116"/>
  <c r="G115"/>
  <c r="K115" s="1"/>
  <c r="K114"/>
  <c r="G113"/>
  <c r="K113" s="1"/>
  <c r="K112"/>
  <c r="K111"/>
  <c r="G110"/>
  <c r="K110" s="1"/>
  <c r="K109"/>
  <c r="G108"/>
  <c r="K108" s="1"/>
  <c r="K107"/>
  <c r="G106"/>
  <c r="K106" s="1"/>
  <c r="B106"/>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E83"/>
  <c r="E76"/>
  <c r="C75" s="1"/>
  <c r="B35"/>
  <c r="D34"/>
  <c r="E34" s="1"/>
  <c r="D33"/>
  <c r="E33" s="1"/>
  <c r="B42" i="7"/>
  <c r="D41"/>
  <c r="D40"/>
  <c r="B31"/>
  <c r="B32" s="1"/>
  <c r="D30"/>
  <c r="D29"/>
  <c r="D28"/>
  <c r="D27"/>
  <c r="D26"/>
  <c r="D25"/>
  <c r="D24"/>
  <c r="B22"/>
  <c r="D20"/>
  <c r="D18"/>
  <c r="D17"/>
  <c r="D16"/>
  <c r="B10"/>
  <c r="B8" i="8" l="1"/>
  <c r="B19" s="1"/>
  <c r="K160"/>
  <c r="K161"/>
  <c r="K162"/>
  <c r="K165"/>
  <c r="K166"/>
  <c r="K169"/>
  <c r="K170"/>
  <c r="K175"/>
  <c r="K176"/>
  <c r="K177"/>
  <c r="B7"/>
  <c r="B18" s="1"/>
  <c r="B22" s="1"/>
  <c r="K186"/>
  <c r="K187"/>
  <c r="K191"/>
  <c r="K192"/>
  <c r="K193"/>
  <c r="K196"/>
  <c r="K208"/>
  <c r="K209"/>
  <c r="K214"/>
  <c r="K263"/>
  <c r="K273"/>
  <c r="K274"/>
  <c r="K275"/>
  <c r="K279"/>
  <c r="K308"/>
  <c r="K321"/>
  <c r="K325"/>
  <c r="K326"/>
  <c r="K330"/>
  <c r="K331"/>
  <c r="K332"/>
  <c r="K335"/>
  <c r="K356"/>
  <c r="K365"/>
  <c r="D19" i="7"/>
  <c r="D21" s="1"/>
  <c r="D22" s="1"/>
  <c r="D42"/>
  <c r="H75" i="1"/>
  <c r="H24" s="1"/>
  <c r="H124" s="1"/>
  <c r="P75"/>
  <c r="P24" s="1"/>
  <c r="P124" s="1"/>
  <c r="D75"/>
  <c r="D24" s="1"/>
  <c r="K75"/>
  <c r="K142" s="1"/>
  <c r="S75"/>
  <c r="S142" s="1"/>
  <c r="J75"/>
  <c r="J142" s="1"/>
  <c r="N75"/>
  <c r="N24" s="1"/>
  <c r="N124" s="1"/>
  <c r="R75"/>
  <c r="R24" s="1"/>
  <c r="R124" s="1"/>
  <c r="V75"/>
  <c r="V24" s="1"/>
  <c r="V124" s="1"/>
  <c r="E75"/>
  <c r="E24" s="1"/>
  <c r="E124" s="1"/>
  <c r="I75"/>
  <c r="I142" s="1"/>
  <c r="M75"/>
  <c r="M142" s="1"/>
  <c r="Q75"/>
  <c r="Q24" s="1"/>
  <c r="Q124" s="1"/>
  <c r="U75"/>
  <c r="U24" s="1"/>
  <c r="U124" s="1"/>
  <c r="F24"/>
  <c r="F124" s="1"/>
  <c r="F142"/>
  <c r="E148"/>
  <c r="E30"/>
  <c r="E130" s="1"/>
  <c r="E144"/>
  <c r="E26"/>
  <c r="E126" s="1"/>
  <c r="E146"/>
  <c r="E28"/>
  <c r="E128" s="1"/>
  <c r="H142"/>
  <c r="J24"/>
  <c r="J124" s="1"/>
  <c r="L142"/>
  <c r="L24"/>
  <c r="L124" s="1"/>
  <c r="T142"/>
  <c r="T24"/>
  <c r="T124" s="1"/>
  <c r="G142"/>
  <c r="G24"/>
  <c r="G124" s="1"/>
  <c r="O142"/>
  <c r="O24"/>
  <c r="O124" s="1"/>
  <c r="W142"/>
  <c r="W24"/>
  <c r="W124" s="1"/>
  <c r="G92"/>
  <c r="I92"/>
  <c r="K92"/>
  <c r="M92"/>
  <c r="O92"/>
  <c r="Q92"/>
  <c r="S92"/>
  <c r="U92"/>
  <c r="W92"/>
  <c r="W151" s="1"/>
  <c r="F92"/>
  <c r="H92"/>
  <c r="J92"/>
  <c r="L92"/>
  <c r="N92"/>
  <c r="P92"/>
  <c r="R92"/>
  <c r="T92"/>
  <c r="V92"/>
  <c r="E92"/>
  <c r="D92"/>
  <c r="B33" i="7"/>
  <c r="K158" i="8"/>
  <c r="D33" i="9"/>
  <c r="D69" i="1" s="1"/>
  <c r="K180" i="8"/>
  <c r="K181"/>
  <c r="K184"/>
  <c r="K189"/>
  <c r="K206"/>
  <c r="K265"/>
  <c r="K266"/>
  <c r="K271"/>
  <c r="K277"/>
  <c r="K293"/>
  <c r="K296"/>
  <c r="K299"/>
  <c r="K302"/>
  <c r="K305"/>
  <c r="K311"/>
  <c r="K323"/>
  <c r="K328"/>
  <c r="K337"/>
  <c r="K354"/>
  <c r="K362"/>
  <c r="K363"/>
  <c r="K369"/>
  <c r="D79" i="1"/>
  <c r="D28" s="1"/>
  <c r="W79"/>
  <c r="V79"/>
  <c r="U79"/>
  <c r="T79"/>
  <c r="S79"/>
  <c r="R79"/>
  <c r="Q79"/>
  <c r="P79"/>
  <c r="O79"/>
  <c r="N79"/>
  <c r="M79"/>
  <c r="L79"/>
  <c r="K79"/>
  <c r="J79"/>
  <c r="I79"/>
  <c r="H79"/>
  <c r="G79"/>
  <c r="F79"/>
  <c r="D77"/>
  <c r="D26" s="1"/>
  <c r="W77"/>
  <c r="V77"/>
  <c r="U77"/>
  <c r="T77"/>
  <c r="S77"/>
  <c r="R77"/>
  <c r="Q77"/>
  <c r="P77"/>
  <c r="O77"/>
  <c r="N77"/>
  <c r="M77"/>
  <c r="L77"/>
  <c r="K77"/>
  <c r="J77"/>
  <c r="I77"/>
  <c r="H77"/>
  <c r="G77"/>
  <c r="F77"/>
  <c r="D81"/>
  <c r="D30" s="1"/>
  <c r="W81"/>
  <c r="V81"/>
  <c r="U81"/>
  <c r="T81"/>
  <c r="S81"/>
  <c r="R81"/>
  <c r="Q81"/>
  <c r="P81"/>
  <c r="O81"/>
  <c r="N81"/>
  <c r="M81"/>
  <c r="L81"/>
  <c r="K81"/>
  <c r="J81"/>
  <c r="I81"/>
  <c r="H81"/>
  <c r="G81"/>
  <c r="F81"/>
  <c r="E35" i="8"/>
  <c r="C83"/>
  <c r="C86" s="1"/>
  <c r="D35"/>
  <c r="H292"/>
  <c r="K292" s="1"/>
  <c r="H295"/>
  <c r="K295" s="1"/>
  <c r="H298"/>
  <c r="K298" s="1"/>
  <c r="H304"/>
  <c r="K304" s="1"/>
  <c r="F18" i="2"/>
  <c r="F25"/>
  <c r="E12"/>
  <c r="F12" s="1"/>
  <c r="F8"/>
  <c r="B134" i="8"/>
  <c r="B133"/>
  <c r="B135" s="1"/>
  <c r="B136" s="1"/>
  <c r="B137" s="1"/>
  <c r="B138" s="1"/>
  <c r="B139" s="1"/>
  <c r="B140" s="1"/>
  <c r="B319"/>
  <c r="B318"/>
  <c r="B320" s="1"/>
  <c r="J294"/>
  <c r="J297"/>
  <c r="K297" s="1"/>
  <c r="J300"/>
  <c r="K300" s="1"/>
  <c r="K301"/>
  <c r="J303"/>
  <c r="K303" s="1"/>
  <c r="J306"/>
  <c r="K306" s="1"/>
  <c r="H307"/>
  <c r="J309"/>
  <c r="K309" s="1"/>
  <c r="H310"/>
  <c r="K310" s="1"/>
  <c r="J312"/>
  <c r="K312" s="1"/>
  <c r="D31" i="7"/>
  <c r="D32" s="1"/>
  <c r="E142" i="1" l="1"/>
  <c r="E164" s="1"/>
  <c r="Q142"/>
  <c r="M24"/>
  <c r="M124" s="1"/>
  <c r="M164" s="1"/>
  <c r="R142"/>
  <c r="S24"/>
  <c r="S124" s="1"/>
  <c r="V142"/>
  <c r="U142"/>
  <c r="U164" s="1"/>
  <c r="K24"/>
  <c r="K124" s="1"/>
  <c r="P142"/>
  <c r="P164" s="1"/>
  <c r="B9" i="8"/>
  <c r="X92" i="1"/>
  <c r="Y92" s="1"/>
  <c r="N142"/>
  <c r="N164" s="1"/>
  <c r="Z75"/>
  <c r="X75"/>
  <c r="Y75" s="1"/>
  <c r="I24"/>
  <c r="I124" s="1"/>
  <c r="I164" s="1"/>
  <c r="F164"/>
  <c r="F148"/>
  <c r="F30"/>
  <c r="F130" s="1"/>
  <c r="G148"/>
  <c r="G30"/>
  <c r="G130" s="1"/>
  <c r="H148"/>
  <c r="H30"/>
  <c r="H130" s="1"/>
  <c r="I148"/>
  <c r="I30"/>
  <c r="I130" s="1"/>
  <c r="J148"/>
  <c r="J30"/>
  <c r="J130" s="1"/>
  <c r="K148"/>
  <c r="K30"/>
  <c r="K130" s="1"/>
  <c r="L148"/>
  <c r="L30"/>
  <c r="L130" s="1"/>
  <c r="M148"/>
  <c r="M30"/>
  <c r="M130" s="1"/>
  <c r="N148"/>
  <c r="N30"/>
  <c r="N130" s="1"/>
  <c r="O148"/>
  <c r="O30"/>
  <c r="O130" s="1"/>
  <c r="P148"/>
  <c r="P30"/>
  <c r="P130" s="1"/>
  <c r="Q148"/>
  <c r="Q30"/>
  <c r="Q130" s="1"/>
  <c r="R148"/>
  <c r="R30"/>
  <c r="R130" s="1"/>
  <c r="S148"/>
  <c r="S30"/>
  <c r="S130" s="1"/>
  <c r="T148"/>
  <c r="T30"/>
  <c r="T130" s="1"/>
  <c r="U148"/>
  <c r="U30"/>
  <c r="U130" s="1"/>
  <c r="V148"/>
  <c r="V30"/>
  <c r="V130" s="1"/>
  <c r="W148"/>
  <c r="W30"/>
  <c r="W130" s="1"/>
  <c r="D130"/>
  <c r="F144"/>
  <c r="F26"/>
  <c r="F126" s="1"/>
  <c r="G144"/>
  <c r="G26"/>
  <c r="G126" s="1"/>
  <c r="H144"/>
  <c r="H26"/>
  <c r="H126" s="1"/>
  <c r="I144"/>
  <c r="I26"/>
  <c r="I126" s="1"/>
  <c r="J144"/>
  <c r="J26"/>
  <c r="J126" s="1"/>
  <c r="K144"/>
  <c r="K26"/>
  <c r="K126" s="1"/>
  <c r="L144"/>
  <c r="L26"/>
  <c r="L126" s="1"/>
  <c r="M144"/>
  <c r="M26"/>
  <c r="M126" s="1"/>
  <c r="N144"/>
  <c r="N26"/>
  <c r="N126" s="1"/>
  <c r="O144"/>
  <c r="O26"/>
  <c r="O126" s="1"/>
  <c r="P144"/>
  <c r="P26"/>
  <c r="P126" s="1"/>
  <c r="Q144"/>
  <c r="Q26"/>
  <c r="Q126" s="1"/>
  <c r="R144"/>
  <c r="R26"/>
  <c r="R126" s="1"/>
  <c r="S144"/>
  <c r="S26"/>
  <c r="S126" s="1"/>
  <c r="T144"/>
  <c r="T26"/>
  <c r="T126" s="1"/>
  <c r="U144"/>
  <c r="U26"/>
  <c r="U126" s="1"/>
  <c r="V144"/>
  <c r="V26"/>
  <c r="V126" s="1"/>
  <c r="W144"/>
  <c r="W26"/>
  <c r="W126" s="1"/>
  <c r="D126"/>
  <c r="F146"/>
  <c r="F28"/>
  <c r="F128" s="1"/>
  <c r="G146"/>
  <c r="G28"/>
  <c r="G128" s="1"/>
  <c r="H146"/>
  <c r="H28"/>
  <c r="H128" s="1"/>
  <c r="I146"/>
  <c r="I28"/>
  <c r="I128" s="1"/>
  <c r="J146"/>
  <c r="J28"/>
  <c r="J128" s="1"/>
  <c r="K146"/>
  <c r="K28"/>
  <c r="K128" s="1"/>
  <c r="L146"/>
  <c r="L28"/>
  <c r="L128" s="1"/>
  <c r="M146"/>
  <c r="M28"/>
  <c r="M128" s="1"/>
  <c r="N146"/>
  <c r="N28"/>
  <c r="N128" s="1"/>
  <c r="O146"/>
  <c r="O28"/>
  <c r="O128" s="1"/>
  <c r="P146"/>
  <c r="P28"/>
  <c r="P128" s="1"/>
  <c r="Q146"/>
  <c r="Q28"/>
  <c r="Q128" s="1"/>
  <c r="R146"/>
  <c r="R28"/>
  <c r="R128" s="1"/>
  <c r="S146"/>
  <c r="S28"/>
  <c r="S128" s="1"/>
  <c r="T146"/>
  <c r="T28"/>
  <c r="T128" s="1"/>
  <c r="U146"/>
  <c r="U28"/>
  <c r="U128" s="1"/>
  <c r="V146"/>
  <c r="V28"/>
  <c r="V128" s="1"/>
  <c r="W146"/>
  <c r="W28"/>
  <c r="W128" s="1"/>
  <c r="D128"/>
  <c r="D18"/>
  <c r="Z69"/>
  <c r="D41"/>
  <c r="Z92"/>
  <c r="W164"/>
  <c r="S164"/>
  <c r="Q164"/>
  <c r="O164"/>
  <c r="K164"/>
  <c r="G164"/>
  <c r="V164"/>
  <c r="T164"/>
  <c r="R164"/>
  <c r="L164"/>
  <c r="J164"/>
  <c r="H164"/>
  <c r="E168"/>
  <c r="E166"/>
  <c r="E170"/>
  <c r="D148"/>
  <c r="Z81"/>
  <c r="D144"/>
  <c r="Z77"/>
  <c r="D146"/>
  <c r="Z79"/>
  <c r="D142"/>
  <c r="E151"/>
  <c r="E41"/>
  <c r="E133" s="1"/>
  <c r="V151"/>
  <c r="V41"/>
  <c r="V133" s="1"/>
  <c r="T151"/>
  <c r="T41"/>
  <c r="T133" s="1"/>
  <c r="R151"/>
  <c r="R41"/>
  <c r="R133" s="1"/>
  <c r="P151"/>
  <c r="P41"/>
  <c r="P133" s="1"/>
  <c r="N151"/>
  <c r="N41"/>
  <c r="N133" s="1"/>
  <c r="L151"/>
  <c r="L41"/>
  <c r="L133" s="1"/>
  <c r="J151"/>
  <c r="J41"/>
  <c r="J133" s="1"/>
  <c r="H151"/>
  <c r="H41"/>
  <c r="H133" s="1"/>
  <c r="F151"/>
  <c r="F41"/>
  <c r="F133" s="1"/>
  <c r="W41"/>
  <c r="U151"/>
  <c r="U41"/>
  <c r="U133" s="1"/>
  <c r="S151"/>
  <c r="S41"/>
  <c r="S133" s="1"/>
  <c r="Q151"/>
  <c r="Q41"/>
  <c r="Q133" s="1"/>
  <c r="O151"/>
  <c r="O41"/>
  <c r="O133" s="1"/>
  <c r="M151"/>
  <c r="M41"/>
  <c r="M133" s="1"/>
  <c r="K151"/>
  <c r="K41"/>
  <c r="K133" s="1"/>
  <c r="I151"/>
  <c r="I41"/>
  <c r="I133" s="1"/>
  <c r="G151"/>
  <c r="G41"/>
  <c r="G133" s="1"/>
  <c r="E78"/>
  <c r="G78"/>
  <c r="I78"/>
  <c r="K78"/>
  <c r="M78"/>
  <c r="O78"/>
  <c r="Q78"/>
  <c r="S78"/>
  <c r="U78"/>
  <c r="W78"/>
  <c r="F78"/>
  <c r="H78"/>
  <c r="J78"/>
  <c r="L78"/>
  <c r="N78"/>
  <c r="P78"/>
  <c r="R78"/>
  <c r="T78"/>
  <c r="V78"/>
  <c r="D78"/>
  <c r="F80"/>
  <c r="H80"/>
  <c r="J80"/>
  <c r="L80"/>
  <c r="N80"/>
  <c r="P80"/>
  <c r="R80"/>
  <c r="T80"/>
  <c r="V80"/>
  <c r="D80"/>
  <c r="D29" s="1"/>
  <c r="E80"/>
  <c r="G80"/>
  <c r="I80"/>
  <c r="K80"/>
  <c r="M80"/>
  <c r="O80"/>
  <c r="Q80"/>
  <c r="S80"/>
  <c r="U80"/>
  <c r="W80"/>
  <c r="X69"/>
  <c r="Y69" s="1"/>
  <c r="E76"/>
  <c r="E25" s="1"/>
  <c r="F76"/>
  <c r="F25" s="1"/>
  <c r="G76"/>
  <c r="G25" s="1"/>
  <c r="H76"/>
  <c r="H25" s="1"/>
  <c r="I76"/>
  <c r="I25" s="1"/>
  <c r="J76"/>
  <c r="J25" s="1"/>
  <c r="K76"/>
  <c r="K25" s="1"/>
  <c r="L76"/>
  <c r="L25" s="1"/>
  <c r="M76"/>
  <c r="M25" s="1"/>
  <c r="N76"/>
  <c r="N25" s="1"/>
  <c r="O76"/>
  <c r="O25" s="1"/>
  <c r="P76"/>
  <c r="P25" s="1"/>
  <c r="Q76"/>
  <c r="Q25" s="1"/>
  <c r="R76"/>
  <c r="R25" s="1"/>
  <c r="S76"/>
  <c r="S25" s="1"/>
  <c r="T76"/>
  <c r="T25" s="1"/>
  <c r="U76"/>
  <c r="U25" s="1"/>
  <c r="V76"/>
  <c r="V25" s="1"/>
  <c r="W76"/>
  <c r="W25" s="1"/>
  <c r="D76"/>
  <c r="D25" s="1"/>
  <c r="B23" i="8"/>
  <c r="B24" s="1"/>
  <c r="B46" s="1"/>
  <c r="B20"/>
  <c r="B322"/>
  <c r="B324" s="1"/>
  <c r="B325" s="1"/>
  <c r="B321"/>
  <c r="B323" s="1"/>
  <c r="B142"/>
  <c r="B141"/>
  <c r="B143" s="1"/>
  <c r="C7"/>
  <c r="C18" s="1"/>
  <c r="C8"/>
  <c r="K307"/>
  <c r="K294"/>
  <c r="D33" i="7"/>
  <c r="D90" i="1" s="1"/>
  <c r="X142" l="1"/>
  <c r="Y142" s="1"/>
  <c r="X146"/>
  <c r="Y146" s="1"/>
  <c r="X148"/>
  <c r="Y148" s="1"/>
  <c r="X24"/>
  <c r="Y24" s="1"/>
  <c r="X128"/>
  <c r="Y128" s="1"/>
  <c r="F174"/>
  <c r="H174"/>
  <c r="J174"/>
  <c r="L174"/>
  <c r="N174"/>
  <c r="P174"/>
  <c r="R174"/>
  <c r="T174"/>
  <c r="V174"/>
  <c r="E174"/>
  <c r="Z24"/>
  <c r="X144"/>
  <c r="Y144" s="1"/>
  <c r="X28"/>
  <c r="Y28" s="1"/>
  <c r="Z28"/>
  <c r="X30"/>
  <c r="Y30" s="1"/>
  <c r="Z30"/>
  <c r="G174"/>
  <c r="I174"/>
  <c r="K174"/>
  <c r="M174"/>
  <c r="O174"/>
  <c r="Q174"/>
  <c r="S174"/>
  <c r="U174"/>
  <c r="X26"/>
  <c r="Y26" s="1"/>
  <c r="Z26"/>
  <c r="W133"/>
  <c r="W174" s="1"/>
  <c r="Z126"/>
  <c r="X126"/>
  <c r="Z130"/>
  <c r="X130"/>
  <c r="D39"/>
  <c r="X39" s="1"/>
  <c r="Y39" s="1"/>
  <c r="Z90"/>
  <c r="Z25"/>
  <c r="D125"/>
  <c r="X25"/>
  <c r="Y25" s="1"/>
  <c r="W125"/>
  <c r="V125"/>
  <c r="U125"/>
  <c r="T125"/>
  <c r="S125"/>
  <c r="R125"/>
  <c r="Q125"/>
  <c r="P125"/>
  <c r="O125"/>
  <c r="N125"/>
  <c r="M125"/>
  <c r="L125"/>
  <c r="K125"/>
  <c r="J125"/>
  <c r="I125"/>
  <c r="H125"/>
  <c r="G125"/>
  <c r="F125"/>
  <c r="E125"/>
  <c r="W147"/>
  <c r="W29"/>
  <c r="W129" s="1"/>
  <c r="U147"/>
  <c r="U29"/>
  <c r="U129" s="1"/>
  <c r="S147"/>
  <c r="S29"/>
  <c r="S129" s="1"/>
  <c r="Q147"/>
  <c r="Q29"/>
  <c r="Q129" s="1"/>
  <c r="O147"/>
  <c r="O29"/>
  <c r="O129" s="1"/>
  <c r="M147"/>
  <c r="M29"/>
  <c r="M129" s="1"/>
  <c r="K147"/>
  <c r="K29"/>
  <c r="K129" s="1"/>
  <c r="I147"/>
  <c r="I29"/>
  <c r="I129" s="1"/>
  <c r="G147"/>
  <c r="G29"/>
  <c r="G129" s="1"/>
  <c r="E147"/>
  <c r="E29"/>
  <c r="E129" s="1"/>
  <c r="D129"/>
  <c r="V147"/>
  <c r="V29"/>
  <c r="V129" s="1"/>
  <c r="T147"/>
  <c r="T29"/>
  <c r="T129" s="1"/>
  <c r="R147"/>
  <c r="R29"/>
  <c r="R129" s="1"/>
  <c r="P147"/>
  <c r="P29"/>
  <c r="P129" s="1"/>
  <c r="N147"/>
  <c r="N29"/>
  <c r="N129" s="1"/>
  <c r="L147"/>
  <c r="L29"/>
  <c r="L129" s="1"/>
  <c r="J147"/>
  <c r="J29"/>
  <c r="J129" s="1"/>
  <c r="H147"/>
  <c r="H29"/>
  <c r="H129" s="1"/>
  <c r="F147"/>
  <c r="F29"/>
  <c r="F129" s="1"/>
  <c r="Z78"/>
  <c r="D27"/>
  <c r="V145"/>
  <c r="V27"/>
  <c r="V127" s="1"/>
  <c r="T145"/>
  <c r="T27"/>
  <c r="T127" s="1"/>
  <c r="R145"/>
  <c r="R27"/>
  <c r="R127" s="1"/>
  <c r="P145"/>
  <c r="P27"/>
  <c r="P127" s="1"/>
  <c r="N145"/>
  <c r="N27"/>
  <c r="N127" s="1"/>
  <c r="L145"/>
  <c r="L27"/>
  <c r="L127" s="1"/>
  <c r="J145"/>
  <c r="J27"/>
  <c r="J127" s="1"/>
  <c r="H145"/>
  <c r="H27"/>
  <c r="H127" s="1"/>
  <c r="F145"/>
  <c r="F27"/>
  <c r="F127" s="1"/>
  <c r="W145"/>
  <c r="W27"/>
  <c r="W127" s="1"/>
  <c r="U145"/>
  <c r="U27"/>
  <c r="U127" s="1"/>
  <c r="S145"/>
  <c r="S27"/>
  <c r="S127" s="1"/>
  <c r="Q145"/>
  <c r="Q27"/>
  <c r="Q127" s="1"/>
  <c r="O145"/>
  <c r="O27"/>
  <c r="O127" s="1"/>
  <c r="M145"/>
  <c r="M27"/>
  <c r="M127" s="1"/>
  <c r="K145"/>
  <c r="K27"/>
  <c r="K127" s="1"/>
  <c r="I145"/>
  <c r="I27"/>
  <c r="I127" s="1"/>
  <c r="G145"/>
  <c r="G27"/>
  <c r="G127" s="1"/>
  <c r="E145"/>
  <c r="E27"/>
  <c r="E127" s="1"/>
  <c r="Z142"/>
  <c r="Z18"/>
  <c r="D124"/>
  <c r="X18"/>
  <c r="Y18" s="1"/>
  <c r="Z128"/>
  <c r="Z41"/>
  <c r="W168"/>
  <c r="V168"/>
  <c r="U168"/>
  <c r="T168"/>
  <c r="S168"/>
  <c r="R168"/>
  <c r="Q168"/>
  <c r="P168"/>
  <c r="O168"/>
  <c r="N168"/>
  <c r="M168"/>
  <c r="L168"/>
  <c r="K168"/>
  <c r="J168"/>
  <c r="I168"/>
  <c r="H168"/>
  <c r="G168"/>
  <c r="F168"/>
  <c r="W166"/>
  <c r="V166"/>
  <c r="U166"/>
  <c r="T166"/>
  <c r="S166"/>
  <c r="R166"/>
  <c r="Q166"/>
  <c r="P166"/>
  <c r="O166"/>
  <c r="N166"/>
  <c r="M166"/>
  <c r="L166"/>
  <c r="K166"/>
  <c r="J166"/>
  <c r="I166"/>
  <c r="H166"/>
  <c r="G166"/>
  <c r="F166"/>
  <c r="W170"/>
  <c r="V170"/>
  <c r="U170"/>
  <c r="T170"/>
  <c r="S170"/>
  <c r="R170"/>
  <c r="Q170"/>
  <c r="P170"/>
  <c r="O170"/>
  <c r="N170"/>
  <c r="M170"/>
  <c r="L170"/>
  <c r="K170"/>
  <c r="J170"/>
  <c r="I170"/>
  <c r="H170"/>
  <c r="G170"/>
  <c r="F170"/>
  <c r="D143"/>
  <c r="Z76"/>
  <c r="D147"/>
  <c r="Z80"/>
  <c r="D168"/>
  <c r="Z146"/>
  <c r="D166"/>
  <c r="Z144"/>
  <c r="D170"/>
  <c r="Z148"/>
  <c r="D145"/>
  <c r="X41"/>
  <c r="Y41" s="1"/>
  <c r="X90"/>
  <c r="Y90" s="1"/>
  <c r="D95"/>
  <c r="D151"/>
  <c r="X151" s="1"/>
  <c r="D104"/>
  <c r="W104"/>
  <c r="W143"/>
  <c r="V104"/>
  <c r="V143"/>
  <c r="U104"/>
  <c r="U143"/>
  <c r="T104"/>
  <c r="T143"/>
  <c r="S104"/>
  <c r="S143"/>
  <c r="R104"/>
  <c r="R143"/>
  <c r="Q104"/>
  <c r="Q143"/>
  <c r="P104"/>
  <c r="P143"/>
  <c r="O104"/>
  <c r="O143"/>
  <c r="N104"/>
  <c r="N143"/>
  <c r="M104"/>
  <c r="M143"/>
  <c r="L104"/>
  <c r="L143"/>
  <c r="K104"/>
  <c r="K143"/>
  <c r="J104"/>
  <c r="J143"/>
  <c r="I104"/>
  <c r="I143"/>
  <c r="H104"/>
  <c r="H143"/>
  <c r="G104"/>
  <c r="G143"/>
  <c r="F104"/>
  <c r="F143"/>
  <c r="E104"/>
  <c r="E143"/>
  <c r="D18" i="8"/>
  <c r="C22"/>
  <c r="D22" s="1"/>
  <c r="C19"/>
  <c r="C9"/>
  <c r="D9" s="1"/>
  <c r="D8"/>
  <c r="B145"/>
  <c r="B144"/>
  <c r="B146" s="1"/>
  <c r="B147" s="1"/>
  <c r="B148" s="1"/>
  <c r="B149" s="1"/>
  <c r="B327"/>
  <c r="B329" s="1"/>
  <c r="B326"/>
  <c r="B328" s="1"/>
  <c r="B330" s="1"/>
  <c r="D7"/>
  <c r="F165" i="1" l="1"/>
  <c r="H165"/>
  <c r="J165"/>
  <c r="L165"/>
  <c r="N165"/>
  <c r="P165"/>
  <c r="R165"/>
  <c r="T165"/>
  <c r="V165"/>
  <c r="D44"/>
  <c r="Z44" s="1"/>
  <c r="E165"/>
  <c r="G165"/>
  <c r="I165"/>
  <c r="K165"/>
  <c r="M165"/>
  <c r="O165"/>
  <c r="Q165"/>
  <c r="S165"/>
  <c r="U165"/>
  <c r="W165"/>
  <c r="X147"/>
  <c r="Y147" s="1"/>
  <c r="Z145"/>
  <c r="X145"/>
  <c r="Y145" s="1"/>
  <c r="Z124"/>
  <c r="X124"/>
  <c r="X143"/>
  <c r="Y143" s="1"/>
  <c r="X129"/>
  <c r="X125"/>
  <c r="Y125" s="1"/>
  <c r="Y151"/>
  <c r="Z151"/>
  <c r="X95"/>
  <c r="Y95" s="1"/>
  <c r="Z95"/>
  <c r="Z27"/>
  <c r="D127"/>
  <c r="X27"/>
  <c r="Y27" s="1"/>
  <c r="Z125"/>
  <c r="D133"/>
  <c r="Z39"/>
  <c r="D164"/>
  <c r="E167"/>
  <c r="G167"/>
  <c r="I167"/>
  <c r="K167"/>
  <c r="M167"/>
  <c r="O167"/>
  <c r="Q167"/>
  <c r="S167"/>
  <c r="U167"/>
  <c r="W167"/>
  <c r="F167"/>
  <c r="H167"/>
  <c r="J167"/>
  <c r="L167"/>
  <c r="N167"/>
  <c r="P167"/>
  <c r="R167"/>
  <c r="T167"/>
  <c r="V167"/>
  <c r="F169"/>
  <c r="H169"/>
  <c r="J169"/>
  <c r="L169"/>
  <c r="N169"/>
  <c r="P169"/>
  <c r="R169"/>
  <c r="T169"/>
  <c r="V169"/>
  <c r="X29"/>
  <c r="Y29" s="1"/>
  <c r="Z129"/>
  <c r="Z29"/>
  <c r="E169"/>
  <c r="G169"/>
  <c r="I169"/>
  <c r="K169"/>
  <c r="M169"/>
  <c r="O169"/>
  <c r="Q169"/>
  <c r="S169"/>
  <c r="U169"/>
  <c r="W169"/>
  <c r="E53"/>
  <c r="F53"/>
  <c r="G53"/>
  <c r="H53"/>
  <c r="I53"/>
  <c r="J53"/>
  <c r="K53"/>
  <c r="L53"/>
  <c r="M53"/>
  <c r="N53"/>
  <c r="O53"/>
  <c r="P53"/>
  <c r="Q53"/>
  <c r="R53"/>
  <c r="S53"/>
  <c r="T53"/>
  <c r="U53"/>
  <c r="V53"/>
  <c r="W53"/>
  <c r="D53"/>
  <c r="Z170"/>
  <c r="X170"/>
  <c r="Y170" s="1"/>
  <c r="Z166"/>
  <c r="X166"/>
  <c r="Y166" s="1"/>
  <c r="Z168"/>
  <c r="X168"/>
  <c r="Y168" s="1"/>
  <c r="D169"/>
  <c r="Z147"/>
  <c r="D165"/>
  <c r="Z143"/>
  <c r="Z104"/>
  <c r="D167"/>
  <c r="D174"/>
  <c r="X44"/>
  <c r="Y44" s="1"/>
  <c r="X104"/>
  <c r="Y104" s="1"/>
  <c r="B47" i="8"/>
  <c r="B48" s="1"/>
  <c r="B51"/>
  <c r="D19"/>
  <c r="C23"/>
  <c r="D23" s="1"/>
  <c r="B333"/>
  <c r="B335" s="1"/>
  <c r="B338" s="1"/>
  <c r="B331"/>
  <c r="B332" s="1"/>
  <c r="B334"/>
  <c r="B150"/>
  <c r="B152" s="1"/>
  <c r="B151"/>
  <c r="C24"/>
  <c r="C20"/>
  <c r="D20" s="1"/>
  <c r="Z133" i="1" l="1"/>
  <c r="X133"/>
  <c r="Z127"/>
  <c r="X127"/>
  <c r="Z174"/>
  <c r="X174"/>
  <c r="Y174" s="1"/>
  <c r="X53"/>
  <c r="Y53" s="1"/>
  <c r="Z53"/>
  <c r="Z164"/>
  <c r="X164"/>
  <c r="Y164" s="1"/>
  <c r="Y129"/>
  <c r="Z167"/>
  <c r="X167"/>
  <c r="Y167" s="1"/>
  <c r="Z165"/>
  <c r="X165"/>
  <c r="Y165" s="1"/>
  <c r="Z169"/>
  <c r="X169"/>
  <c r="Y169" s="1"/>
  <c r="D24" i="8"/>
  <c r="C46"/>
  <c r="B52"/>
  <c r="B53" s="1"/>
  <c r="B336"/>
  <c r="B339" s="1"/>
  <c r="B340" s="1"/>
  <c r="B341" s="1"/>
  <c r="B342" s="1"/>
  <c r="B343" s="1"/>
  <c r="B344" s="1"/>
  <c r="B337"/>
  <c r="B154"/>
  <c r="B153"/>
  <c r="B155" s="1"/>
  <c r="B156" s="1"/>
  <c r="B347" l="1"/>
  <c r="B346" s="1"/>
  <c r="B345"/>
  <c r="B348" s="1"/>
  <c r="B349" s="1"/>
  <c r="B350" s="1"/>
  <c r="B351" s="1"/>
  <c r="B352" s="1"/>
  <c r="C51"/>
  <c r="C52" s="1"/>
  <c r="C47"/>
  <c r="C48" s="1"/>
  <c r="D48" s="1"/>
  <c r="D46"/>
  <c r="B157"/>
  <c r="B159" s="1"/>
  <c r="B158"/>
  <c r="B161" s="1"/>
  <c r="B163" l="1"/>
  <c r="B166" s="1"/>
  <c r="B170" s="1"/>
  <c r="B162"/>
  <c r="B165" s="1"/>
  <c r="B160"/>
  <c r="B164" s="1"/>
  <c r="B167" s="1"/>
  <c r="D47"/>
  <c r="D51"/>
  <c r="B353"/>
  <c r="B355" s="1"/>
  <c r="B354"/>
  <c r="C53" l="1"/>
  <c r="D53" s="1"/>
  <c r="D52"/>
  <c r="B171"/>
  <c r="B172" s="1"/>
  <c r="B173" s="1"/>
  <c r="B174" s="1"/>
  <c r="B175" s="1"/>
  <c r="B168"/>
  <c r="B169" s="1"/>
  <c r="B358"/>
  <c r="B359" s="1"/>
  <c r="B360" s="1"/>
  <c r="B361" s="1"/>
  <c r="B362" s="1"/>
  <c r="B364" s="1"/>
  <c r="B357"/>
  <c r="G93" i="1" l="1"/>
  <c r="H93"/>
  <c r="I93"/>
  <c r="J93"/>
  <c r="K93"/>
  <c r="L93"/>
  <c r="M93"/>
  <c r="N93"/>
  <c r="O93"/>
  <c r="P93"/>
  <c r="Q93"/>
  <c r="R93"/>
  <c r="S93"/>
  <c r="T93"/>
  <c r="U93"/>
  <c r="V93"/>
  <c r="W93"/>
  <c r="E93"/>
  <c r="F93"/>
  <c r="D93"/>
  <c r="B366" i="8"/>
  <c r="B363"/>
  <c r="B178"/>
  <c r="B176"/>
  <c r="Z93" i="1" l="1"/>
  <c r="D152"/>
  <c r="D42"/>
  <c r="F152"/>
  <c r="F42"/>
  <c r="F134" s="1"/>
  <c r="E152"/>
  <c r="E42"/>
  <c r="E134" s="1"/>
  <c r="W152"/>
  <c r="W42"/>
  <c r="W134" s="1"/>
  <c r="V152"/>
  <c r="V42"/>
  <c r="V134" s="1"/>
  <c r="U152"/>
  <c r="U42"/>
  <c r="U134" s="1"/>
  <c r="T152"/>
  <c r="T42"/>
  <c r="T134" s="1"/>
  <c r="S152"/>
  <c r="S42"/>
  <c r="S134" s="1"/>
  <c r="R152"/>
  <c r="R42"/>
  <c r="R134" s="1"/>
  <c r="Q152"/>
  <c r="Q42"/>
  <c r="Q134" s="1"/>
  <c r="P152"/>
  <c r="P42"/>
  <c r="P134" s="1"/>
  <c r="O152"/>
  <c r="O42"/>
  <c r="O134" s="1"/>
  <c r="N152"/>
  <c r="N42"/>
  <c r="N134" s="1"/>
  <c r="M152"/>
  <c r="M42"/>
  <c r="M134" s="1"/>
  <c r="L152"/>
  <c r="L42"/>
  <c r="L134" s="1"/>
  <c r="K152"/>
  <c r="K42"/>
  <c r="K134" s="1"/>
  <c r="J152"/>
  <c r="J42"/>
  <c r="J134" s="1"/>
  <c r="I152"/>
  <c r="I42"/>
  <c r="I134" s="1"/>
  <c r="H152"/>
  <c r="H42"/>
  <c r="H134" s="1"/>
  <c r="G152"/>
  <c r="G42"/>
  <c r="G134" s="1"/>
  <c r="X93"/>
  <c r="Y93" s="1"/>
  <c r="D106"/>
  <c r="D96"/>
  <c r="F106"/>
  <c r="F96"/>
  <c r="F97" s="1"/>
  <c r="E106"/>
  <c r="E96"/>
  <c r="E97" s="1"/>
  <c r="W106"/>
  <c r="W96"/>
  <c r="W97" s="1"/>
  <c r="V106"/>
  <c r="V96"/>
  <c r="V97" s="1"/>
  <c r="U106"/>
  <c r="U96"/>
  <c r="U97" s="1"/>
  <c r="T106"/>
  <c r="T96"/>
  <c r="T97" s="1"/>
  <c r="S106"/>
  <c r="S96"/>
  <c r="S97" s="1"/>
  <c r="R106"/>
  <c r="R96"/>
  <c r="R97" s="1"/>
  <c r="Q106"/>
  <c r="Q96"/>
  <c r="Q97" s="1"/>
  <c r="P106"/>
  <c r="P96"/>
  <c r="P97" s="1"/>
  <c r="O106"/>
  <c r="O96"/>
  <c r="O97" s="1"/>
  <c r="N106"/>
  <c r="N96"/>
  <c r="N97" s="1"/>
  <c r="M106"/>
  <c r="M96"/>
  <c r="M97" s="1"/>
  <c r="L106"/>
  <c r="L96"/>
  <c r="L97" s="1"/>
  <c r="K106"/>
  <c r="K96"/>
  <c r="K97" s="1"/>
  <c r="J106"/>
  <c r="J96"/>
  <c r="J97" s="1"/>
  <c r="I106"/>
  <c r="I96"/>
  <c r="I97" s="1"/>
  <c r="H106"/>
  <c r="H96"/>
  <c r="H97" s="1"/>
  <c r="G106"/>
  <c r="G96"/>
  <c r="G97" s="1"/>
  <c r="B365" i="8"/>
  <c r="B369"/>
  <c r="B370" s="1"/>
  <c r="B371" s="1"/>
  <c r="B372" s="1"/>
  <c r="B373" s="1"/>
  <c r="B374" s="1"/>
  <c r="B376" s="1"/>
  <c r="B367"/>
  <c r="B368" s="1"/>
  <c r="B179"/>
  <c r="B177"/>
  <c r="G175" i="1" l="1"/>
  <c r="G176" s="1"/>
  <c r="H175"/>
  <c r="H176" s="1"/>
  <c r="I175"/>
  <c r="I176" s="1"/>
  <c r="J175"/>
  <c r="J176" s="1"/>
  <c r="K175"/>
  <c r="K176" s="1"/>
  <c r="L175"/>
  <c r="L176" s="1"/>
  <c r="M175"/>
  <c r="M176" s="1"/>
  <c r="N175"/>
  <c r="N176" s="1"/>
  <c r="O175"/>
  <c r="O176" s="1"/>
  <c r="P175"/>
  <c r="P176" s="1"/>
  <c r="Q175"/>
  <c r="Q176" s="1"/>
  <c r="R175"/>
  <c r="R176" s="1"/>
  <c r="S175"/>
  <c r="S176" s="1"/>
  <c r="T175"/>
  <c r="T176" s="1"/>
  <c r="U175"/>
  <c r="U176" s="1"/>
  <c r="V175"/>
  <c r="V176" s="1"/>
  <c r="W175"/>
  <c r="W176" s="1"/>
  <c r="E175"/>
  <c r="E176" s="1"/>
  <c r="F175"/>
  <c r="F176" s="1"/>
  <c r="X152"/>
  <c r="Y152" s="1"/>
  <c r="D134"/>
  <c r="D175" s="1"/>
  <c r="D176" s="1"/>
  <c r="Z42"/>
  <c r="Z152"/>
  <c r="Z96"/>
  <c r="Z106"/>
  <c r="G55"/>
  <c r="G45"/>
  <c r="H55"/>
  <c r="H45"/>
  <c r="I55"/>
  <c r="I45"/>
  <c r="J55"/>
  <c r="J45"/>
  <c r="K55"/>
  <c r="K45"/>
  <c r="L55"/>
  <c r="L45"/>
  <c r="M55"/>
  <c r="M45"/>
  <c r="N55"/>
  <c r="N45"/>
  <c r="O55"/>
  <c r="O45"/>
  <c r="P55"/>
  <c r="P45"/>
  <c r="Q55"/>
  <c r="Q45"/>
  <c r="R55"/>
  <c r="R45"/>
  <c r="S55"/>
  <c r="S45"/>
  <c r="T55"/>
  <c r="T45"/>
  <c r="U55"/>
  <c r="U45"/>
  <c r="V55"/>
  <c r="V45"/>
  <c r="W55"/>
  <c r="W45"/>
  <c r="E55"/>
  <c r="E45"/>
  <c r="F55"/>
  <c r="F45"/>
  <c r="D55"/>
  <c r="X42"/>
  <c r="Y42" s="1"/>
  <c r="D45"/>
  <c r="X96"/>
  <c r="Y96" s="1"/>
  <c r="D97"/>
  <c r="Z97" s="1"/>
  <c r="X106"/>
  <c r="Y106" s="1"/>
  <c r="B182" i="8"/>
  <c r="B180"/>
  <c r="B181" s="1"/>
  <c r="B375"/>
  <c r="B378"/>
  <c r="Z55" i="1" l="1"/>
  <c r="Z45"/>
  <c r="Z176"/>
  <c r="X176"/>
  <c r="Y176" s="1"/>
  <c r="Z134"/>
  <c r="X134"/>
  <c r="Y134" s="1"/>
  <c r="Z175"/>
  <c r="X175"/>
  <c r="Y175" s="1"/>
  <c r="F46"/>
  <c r="E46"/>
  <c r="W46"/>
  <c r="V46"/>
  <c r="U46"/>
  <c r="T46"/>
  <c r="S46"/>
  <c r="R46"/>
  <c r="Q46"/>
  <c r="P46"/>
  <c r="O46"/>
  <c r="N46"/>
  <c r="M46"/>
  <c r="L46"/>
  <c r="K46"/>
  <c r="J46"/>
  <c r="I46"/>
  <c r="H46"/>
  <c r="G46"/>
  <c r="Y124"/>
  <c r="Y127"/>
  <c r="X45"/>
  <c r="Y45" s="1"/>
  <c r="D46"/>
  <c r="X55"/>
  <c r="Y55" s="1"/>
  <c r="X98"/>
  <c r="X97"/>
  <c r="Y97" s="1"/>
  <c r="B381" i="8"/>
  <c r="B382" s="1"/>
  <c r="B383" s="1"/>
  <c r="B384" s="1"/>
  <c r="B385" s="1"/>
  <c r="B386" s="1"/>
  <c r="B388" s="1"/>
  <c r="B389" s="1"/>
  <c r="B390" s="1"/>
  <c r="B391" s="1"/>
  <c r="B392" s="1"/>
  <c r="B393" s="1"/>
  <c r="B394" s="1"/>
  <c r="B396" s="1"/>
  <c r="B397" s="1"/>
  <c r="B398" s="1"/>
  <c r="B399" s="1"/>
  <c r="B400" s="1"/>
  <c r="B401" s="1"/>
  <c r="B402" s="1"/>
  <c r="B404" s="1"/>
  <c r="B405" s="1"/>
  <c r="B406" s="1"/>
  <c r="B407" s="1"/>
  <c r="B408" s="1"/>
  <c r="B409" s="1"/>
  <c r="B410" s="1"/>
  <c r="B411" s="1"/>
  <c r="B412" s="1"/>
  <c r="B413" s="1"/>
  <c r="B414" s="1"/>
  <c r="B415" s="1"/>
  <c r="B416" s="1"/>
  <c r="B417" s="1"/>
  <c r="B418" s="1"/>
  <c r="B419" s="1"/>
  <c r="B420" s="1"/>
  <c r="B421" s="1"/>
  <c r="B422" s="1"/>
  <c r="B423" s="1"/>
  <c r="B424" s="1"/>
  <c r="B425" s="1"/>
  <c r="B426" s="1"/>
  <c r="B427" s="1"/>
  <c r="B428" s="1"/>
  <c r="B429" s="1"/>
  <c r="B430" s="1"/>
  <c r="B379"/>
  <c r="B377"/>
  <c r="B380"/>
  <c r="B183"/>
  <c r="B184" s="1"/>
  <c r="B185"/>
  <c r="B186" s="1"/>
  <c r="Z46" i="1" l="1"/>
  <c r="Y130"/>
  <c r="X47"/>
  <c r="X46"/>
  <c r="Y46" s="1"/>
  <c r="B188" i="8"/>
  <c r="B187"/>
  <c r="B190" l="1"/>
  <c r="B192" s="1"/>
  <c r="B189"/>
  <c r="B191" s="1"/>
  <c r="B194" l="1"/>
  <c r="B196" s="1"/>
  <c r="B193"/>
  <c r="B195"/>
  <c r="B197" s="1"/>
  <c r="B199" l="1"/>
  <c r="B200" s="1"/>
  <c r="B201" s="1"/>
  <c r="B202" s="1"/>
  <c r="B198"/>
  <c r="B205" l="1"/>
  <c r="B203"/>
  <c r="B204"/>
  <c r="B207" l="1"/>
  <c r="B206"/>
  <c r="B212" l="1"/>
  <c r="B214" s="1"/>
  <c r="B215" s="1"/>
  <c r="B216" s="1"/>
  <c r="B217" s="1"/>
  <c r="B210"/>
  <c r="B209"/>
  <c r="B208"/>
  <c r="B211"/>
  <c r="B213" s="1"/>
  <c r="B219" l="1"/>
  <c r="B218"/>
  <c r="B220" s="1"/>
  <c r="B221" l="1"/>
  <c r="B223" s="1"/>
  <c r="B224" s="1"/>
  <c r="B225" s="1"/>
  <c r="B226" s="1"/>
  <c r="B222"/>
  <c r="B228" l="1"/>
  <c r="B227"/>
  <c r="B229" s="1"/>
  <c r="B232" l="1"/>
  <c r="B231"/>
  <c r="B230" l="1"/>
  <c r="B233"/>
  <c r="B234" s="1"/>
  <c r="B235" s="1"/>
  <c r="B236" s="1"/>
  <c r="B237" l="1"/>
  <c r="B239" s="1"/>
  <c r="B238"/>
  <c r="B241" l="1"/>
  <c r="B240"/>
  <c r="B242" s="1"/>
  <c r="B243" s="1"/>
  <c r="B244" s="1"/>
  <c r="B245" s="1"/>
  <c r="B246" s="1"/>
  <c r="B247" l="1"/>
  <c r="B248"/>
  <c r="B249" s="1"/>
  <c r="B251" l="1"/>
  <c r="B252" s="1"/>
  <c r="B253" s="1"/>
  <c r="B254" s="1"/>
  <c r="B255" s="1"/>
  <c r="B257" s="1"/>
  <c r="B250"/>
  <c r="B258" l="1"/>
  <c r="B260" s="1"/>
  <c r="B261" s="1"/>
  <c r="B262" s="1"/>
  <c r="B256"/>
  <c r="B259"/>
  <c r="B264" l="1"/>
  <c r="B265" s="1"/>
  <c r="B263"/>
  <c r="B268" l="1"/>
  <c r="B269" s="1"/>
  <c r="B267"/>
  <c r="B266"/>
  <c r="B270" l="1"/>
  <c r="B271" s="1"/>
  <c r="B272"/>
  <c r="B274" s="1"/>
  <c r="B276" l="1"/>
  <c r="B278" s="1"/>
  <c r="B275"/>
  <c r="B280" l="1"/>
  <c r="B279"/>
  <c r="B281" s="1"/>
  <c r="B282" l="1"/>
  <c r="B284" s="1"/>
  <c r="B285" s="1"/>
  <c r="B286" s="1"/>
  <c r="B287" s="1"/>
  <c r="B283"/>
  <c r="B289" l="1"/>
  <c r="B288"/>
  <c r="B290" s="1"/>
  <c r="B291" l="1"/>
  <c r="B294"/>
  <c r="B297" s="1"/>
  <c r="B300" s="1"/>
  <c r="B303" s="1"/>
  <c r="B306" s="1"/>
  <c r="X81" i="1" l="1"/>
  <c r="Y81" s="1"/>
  <c r="X77"/>
  <c r="Y77" s="1"/>
  <c r="X78"/>
  <c r="Y78" s="1"/>
  <c r="X79"/>
  <c r="Y79" s="1"/>
  <c r="X80"/>
  <c r="Y80" s="1"/>
  <c r="X76"/>
  <c r="Y76" s="1"/>
  <c r="B42" i="6"/>
  <c r="D41"/>
  <c r="D40"/>
  <c r="B31"/>
  <c r="B32" s="1"/>
  <c r="D30"/>
  <c r="D29"/>
  <c r="D28"/>
  <c r="D27"/>
  <c r="D26"/>
  <c r="D25"/>
  <c r="D24"/>
  <c r="B22"/>
  <c r="D20"/>
  <c r="D18"/>
  <c r="D17"/>
  <c r="D16"/>
  <c r="B10"/>
  <c r="B42" i="5"/>
  <c r="D41"/>
  <c r="D40"/>
  <c r="B31"/>
  <c r="B32" s="1"/>
  <c r="D30"/>
  <c r="D29"/>
  <c r="D28"/>
  <c r="D27"/>
  <c r="D26"/>
  <c r="D25"/>
  <c r="D31" s="1"/>
  <c r="D32" s="1"/>
  <c r="D24"/>
  <c r="B22"/>
  <c r="D20"/>
  <c r="D19"/>
  <c r="D18"/>
  <c r="D17"/>
  <c r="D21" s="1"/>
  <c r="D22" s="1"/>
  <c r="D16"/>
  <c r="B10"/>
  <c r="B41" i="4"/>
  <c r="D40"/>
  <c r="D39"/>
  <c r="B30"/>
  <c r="B31" s="1"/>
  <c r="D29"/>
  <c r="D28"/>
  <c r="D27"/>
  <c r="D26"/>
  <c r="D25"/>
  <c r="D24"/>
  <c r="D23"/>
  <c r="B21"/>
  <c r="D19"/>
  <c r="D17"/>
  <c r="D16"/>
  <c r="D15"/>
  <c r="B9"/>
  <c r="B41" i="3"/>
  <c r="B22"/>
  <c r="B31"/>
  <c r="B32" s="1"/>
  <c r="B10"/>
  <c r="D31" i="6"/>
  <c r="D32" s="1"/>
  <c r="D19" l="1"/>
  <c r="D21" s="1"/>
  <c r="D22" s="1"/>
  <c r="D33" s="1"/>
  <c r="D68" i="1" s="1"/>
  <c r="B33" i="6"/>
  <c r="D42"/>
  <c r="H74" i="1" s="1"/>
  <c r="B33" i="5"/>
  <c r="D33"/>
  <c r="D67" i="1" s="1"/>
  <c r="Z67" s="1"/>
  <c r="D42" i="5"/>
  <c r="D18" i="4"/>
  <c r="D20" s="1"/>
  <c r="D21" s="1"/>
  <c r="D30"/>
  <c r="D31" s="1"/>
  <c r="D41"/>
  <c r="B32"/>
  <c r="B33" i="3"/>
  <c r="D65" i="1" s="1"/>
  <c r="Z65" s="1"/>
  <c r="E71"/>
  <c r="E138" s="1"/>
  <c r="E160" s="1"/>
  <c r="G71"/>
  <c r="G138" s="1"/>
  <c r="G160" s="1"/>
  <c r="I71"/>
  <c r="I138" s="1"/>
  <c r="I160" s="1"/>
  <c r="K71"/>
  <c r="K138" s="1"/>
  <c r="K160" s="1"/>
  <c r="M71"/>
  <c r="M138" s="1"/>
  <c r="M160" s="1"/>
  <c r="O71"/>
  <c r="O138" s="1"/>
  <c r="O160" s="1"/>
  <c r="Q71"/>
  <c r="Q138" s="1"/>
  <c r="Q160" s="1"/>
  <c r="S71"/>
  <c r="S138" s="1"/>
  <c r="S160" s="1"/>
  <c r="U71"/>
  <c r="U138" s="1"/>
  <c r="U160" s="1"/>
  <c r="W71"/>
  <c r="F71"/>
  <c r="F138" s="1"/>
  <c r="F160" s="1"/>
  <c r="H71"/>
  <c r="H138" s="1"/>
  <c r="H160" s="1"/>
  <c r="J71"/>
  <c r="J138" s="1"/>
  <c r="J160" s="1"/>
  <c r="L71"/>
  <c r="L138" s="1"/>
  <c r="L160" s="1"/>
  <c r="N71"/>
  <c r="N138" s="1"/>
  <c r="N160" s="1"/>
  <c r="P71"/>
  <c r="P138" s="1"/>
  <c r="P160" s="1"/>
  <c r="R71"/>
  <c r="R138" s="1"/>
  <c r="R160" s="1"/>
  <c r="T71"/>
  <c r="T138" s="1"/>
  <c r="T160" s="1"/>
  <c r="V71"/>
  <c r="V138" s="1"/>
  <c r="V160" s="1"/>
  <c r="D71"/>
  <c r="D138" s="1"/>
  <c r="F73"/>
  <c r="F140" s="1"/>
  <c r="F162" s="1"/>
  <c r="H73"/>
  <c r="H140" s="1"/>
  <c r="H162" s="1"/>
  <c r="J73"/>
  <c r="J140" s="1"/>
  <c r="J162" s="1"/>
  <c r="L73"/>
  <c r="L140" s="1"/>
  <c r="L162" s="1"/>
  <c r="N73"/>
  <c r="N140" s="1"/>
  <c r="N162" s="1"/>
  <c r="P73"/>
  <c r="P140" s="1"/>
  <c r="P162" s="1"/>
  <c r="R73"/>
  <c r="R140" s="1"/>
  <c r="R162" s="1"/>
  <c r="T73"/>
  <c r="T140" s="1"/>
  <c r="T162" s="1"/>
  <c r="V73"/>
  <c r="V140" s="1"/>
  <c r="V162" s="1"/>
  <c r="D73"/>
  <c r="E73"/>
  <c r="E140" s="1"/>
  <c r="E162" s="1"/>
  <c r="G73"/>
  <c r="G140" s="1"/>
  <c r="G162" s="1"/>
  <c r="I73"/>
  <c r="I140" s="1"/>
  <c r="I162" s="1"/>
  <c r="K73"/>
  <c r="K140" s="1"/>
  <c r="K162" s="1"/>
  <c r="M73"/>
  <c r="M140" s="1"/>
  <c r="M162" s="1"/>
  <c r="O73"/>
  <c r="O140" s="1"/>
  <c r="O162" s="1"/>
  <c r="Q73"/>
  <c r="Q140" s="1"/>
  <c r="Q162" s="1"/>
  <c r="S73"/>
  <c r="S140" s="1"/>
  <c r="S162" s="1"/>
  <c r="U73"/>
  <c r="U140" s="1"/>
  <c r="U162" s="1"/>
  <c r="W73"/>
  <c r="W140" s="1"/>
  <c r="W162" s="1"/>
  <c r="J74"/>
  <c r="R74"/>
  <c r="E74"/>
  <c r="M74"/>
  <c r="U74"/>
  <c r="E72"/>
  <c r="E139" s="1"/>
  <c r="E161" s="1"/>
  <c r="F72"/>
  <c r="F139" s="1"/>
  <c r="F161" s="1"/>
  <c r="G72"/>
  <c r="G139" s="1"/>
  <c r="G161" s="1"/>
  <c r="H72"/>
  <c r="H139" s="1"/>
  <c r="H161" s="1"/>
  <c r="I72"/>
  <c r="I139" s="1"/>
  <c r="I161" s="1"/>
  <c r="J72"/>
  <c r="J139" s="1"/>
  <c r="J161" s="1"/>
  <c r="K72"/>
  <c r="K139" s="1"/>
  <c r="K161" s="1"/>
  <c r="L72"/>
  <c r="L139" s="1"/>
  <c r="L161" s="1"/>
  <c r="M72"/>
  <c r="M139" s="1"/>
  <c r="M161" s="1"/>
  <c r="N72"/>
  <c r="N139" s="1"/>
  <c r="N161" s="1"/>
  <c r="O72"/>
  <c r="O139" s="1"/>
  <c r="O161" s="1"/>
  <c r="P72"/>
  <c r="P139" s="1"/>
  <c r="P161" s="1"/>
  <c r="Q72"/>
  <c r="Q139" s="1"/>
  <c r="Q161" s="1"/>
  <c r="R72"/>
  <c r="R139" s="1"/>
  <c r="R161" s="1"/>
  <c r="S72"/>
  <c r="S139" s="1"/>
  <c r="S161" s="1"/>
  <c r="T72"/>
  <c r="T139" s="1"/>
  <c r="T161" s="1"/>
  <c r="U72"/>
  <c r="U139" s="1"/>
  <c r="U161" s="1"/>
  <c r="V72"/>
  <c r="V139" s="1"/>
  <c r="V161" s="1"/>
  <c r="W72"/>
  <c r="W139" s="1"/>
  <c r="W161" s="1"/>
  <c r="D72"/>
  <c r="W74" l="1"/>
  <c r="W23" s="1"/>
  <c r="Q74"/>
  <c r="Q141" s="1"/>
  <c r="I74"/>
  <c r="I141" s="1"/>
  <c r="V74"/>
  <c r="V23" s="1"/>
  <c r="V123" s="1"/>
  <c r="N74"/>
  <c r="N141" s="1"/>
  <c r="F74"/>
  <c r="F23" s="1"/>
  <c r="S74"/>
  <c r="S23" s="1"/>
  <c r="O74"/>
  <c r="O23" s="1"/>
  <c r="K74"/>
  <c r="K23" s="1"/>
  <c r="G74"/>
  <c r="G141" s="1"/>
  <c r="D74"/>
  <c r="D84" s="1"/>
  <c r="T74"/>
  <c r="T23" s="1"/>
  <c r="P74"/>
  <c r="P23" s="1"/>
  <c r="L74"/>
  <c r="L141" s="1"/>
  <c r="X67"/>
  <c r="Y67" s="1"/>
  <c r="D140"/>
  <c r="X140" s="1"/>
  <c r="Y140" s="1"/>
  <c r="D32" i="4"/>
  <c r="D66" i="1" s="1"/>
  <c r="D139" s="1"/>
  <c r="X139" s="1"/>
  <c r="Y139" s="1"/>
  <c r="X65"/>
  <c r="Y65" s="1"/>
  <c r="Z72"/>
  <c r="W138"/>
  <c r="X138" s="1"/>
  <c r="Y138" s="1"/>
  <c r="U141"/>
  <c r="U23"/>
  <c r="M141"/>
  <c r="M23"/>
  <c r="E141"/>
  <c r="E23"/>
  <c r="R141"/>
  <c r="R23"/>
  <c r="J141"/>
  <c r="J23"/>
  <c r="H141"/>
  <c r="H23"/>
  <c r="Z73"/>
  <c r="Z71"/>
  <c r="Y133"/>
  <c r="D17"/>
  <c r="Z68"/>
  <c r="X73"/>
  <c r="Y73" s="1"/>
  <c r="X71"/>
  <c r="Y71" s="1"/>
  <c r="X68"/>
  <c r="Y68" s="1"/>
  <c r="X72"/>
  <c r="Y72" s="1"/>
  <c r="U105"/>
  <c r="U109" s="1"/>
  <c r="U110" s="1"/>
  <c r="U84"/>
  <c r="U85" s="1"/>
  <c r="R105"/>
  <c r="R109" s="1"/>
  <c r="R110" s="1"/>
  <c r="R84"/>
  <c r="R85" s="1"/>
  <c r="M105"/>
  <c r="M109" s="1"/>
  <c r="M110" s="1"/>
  <c r="M84"/>
  <c r="M85" s="1"/>
  <c r="J105"/>
  <c r="J109" s="1"/>
  <c r="J110" s="1"/>
  <c r="J84"/>
  <c r="J85" s="1"/>
  <c r="H105"/>
  <c r="H109" s="1"/>
  <c r="H110" s="1"/>
  <c r="H84"/>
  <c r="H85" s="1"/>
  <c r="E105"/>
  <c r="E109" s="1"/>
  <c r="E110" s="1"/>
  <c r="E84"/>
  <c r="E85" s="1"/>
  <c r="T141" l="1"/>
  <c r="P84"/>
  <c r="P85" s="1"/>
  <c r="K84"/>
  <c r="K85" s="1"/>
  <c r="D102"/>
  <c r="Z102" s="1"/>
  <c r="V84"/>
  <c r="V85" s="1"/>
  <c r="I23"/>
  <c r="I123" s="1"/>
  <c r="I163" s="1"/>
  <c r="I171" s="1"/>
  <c r="I179" s="1"/>
  <c r="N105"/>
  <c r="N109" s="1"/>
  <c r="N110" s="1"/>
  <c r="X66"/>
  <c r="Y66" s="1"/>
  <c r="W141"/>
  <c r="F105"/>
  <c r="F109" s="1"/>
  <c r="F110" s="1"/>
  <c r="Q105"/>
  <c r="Q109" s="1"/>
  <c r="Q110" s="1"/>
  <c r="F84"/>
  <c r="F85" s="1"/>
  <c r="G84"/>
  <c r="G85" s="1"/>
  <c r="L84"/>
  <c r="L85" s="1"/>
  <c r="O84"/>
  <c r="O85" s="1"/>
  <c r="Q84"/>
  <c r="Q85" s="1"/>
  <c r="T84"/>
  <c r="T85" s="1"/>
  <c r="V105"/>
  <c r="V109" s="1"/>
  <c r="V110" s="1"/>
  <c r="F141"/>
  <c r="V141"/>
  <c r="V163" s="1"/>
  <c r="V171" s="1"/>
  <c r="V179" s="1"/>
  <c r="Q23"/>
  <c r="Q123" s="1"/>
  <c r="Q163" s="1"/>
  <c r="Q171" s="1"/>
  <c r="Q179" s="1"/>
  <c r="L23"/>
  <c r="L33" s="1"/>
  <c r="L34" s="1"/>
  <c r="G23"/>
  <c r="O141"/>
  <c r="P141"/>
  <c r="D23"/>
  <c r="D123" s="1"/>
  <c r="D83"/>
  <c r="X83" s="1"/>
  <c r="Y83" s="1"/>
  <c r="Z66"/>
  <c r="I84"/>
  <c r="I85" s="1"/>
  <c r="S84"/>
  <c r="S85" s="1"/>
  <c r="W105"/>
  <c r="W109" s="1"/>
  <c r="W110" s="1"/>
  <c r="N23"/>
  <c r="N123" s="1"/>
  <c r="N163" s="1"/>
  <c r="N171" s="1"/>
  <c r="N179" s="1"/>
  <c r="K141"/>
  <c r="S141"/>
  <c r="I105"/>
  <c r="I109" s="1"/>
  <c r="I110" s="1"/>
  <c r="K105"/>
  <c r="K109" s="1"/>
  <c r="K110" s="1"/>
  <c r="N84"/>
  <c r="N85" s="1"/>
  <c r="P105"/>
  <c r="P109" s="1"/>
  <c r="P110" s="1"/>
  <c r="S105"/>
  <c r="S109" s="1"/>
  <c r="S110" s="1"/>
  <c r="W84"/>
  <c r="W85" s="1"/>
  <c r="G105"/>
  <c r="G109" s="1"/>
  <c r="G110" s="1"/>
  <c r="L105"/>
  <c r="L109" s="1"/>
  <c r="L110" s="1"/>
  <c r="O105"/>
  <c r="O109" s="1"/>
  <c r="O110" s="1"/>
  <c r="T105"/>
  <c r="T109" s="1"/>
  <c r="T110" s="1"/>
  <c r="Z74"/>
  <c r="D105"/>
  <c r="X74"/>
  <c r="Y74" s="1"/>
  <c r="D141"/>
  <c r="W160"/>
  <c r="D161"/>
  <c r="Z139"/>
  <c r="Z17"/>
  <c r="X17"/>
  <c r="Y17" s="1"/>
  <c r="D32"/>
  <c r="D51"/>
  <c r="D160"/>
  <c r="Z138"/>
  <c r="D162"/>
  <c r="Z140"/>
  <c r="F123"/>
  <c r="F33"/>
  <c r="F34" s="1"/>
  <c r="F54"/>
  <c r="F58" s="1"/>
  <c r="F59" s="1"/>
  <c r="H123"/>
  <c r="H163" s="1"/>
  <c r="H171" s="1"/>
  <c r="H179" s="1"/>
  <c r="H33"/>
  <c r="H34" s="1"/>
  <c r="H54"/>
  <c r="H58" s="1"/>
  <c r="H59" s="1"/>
  <c r="J123"/>
  <c r="J163" s="1"/>
  <c r="J171" s="1"/>
  <c r="J179" s="1"/>
  <c r="J33"/>
  <c r="J34" s="1"/>
  <c r="J54"/>
  <c r="J58" s="1"/>
  <c r="J59" s="1"/>
  <c r="P123"/>
  <c r="P163" s="1"/>
  <c r="P171" s="1"/>
  <c r="P179" s="1"/>
  <c r="P33"/>
  <c r="P34" s="1"/>
  <c r="P54"/>
  <c r="P58" s="1"/>
  <c r="P59" s="1"/>
  <c r="R123"/>
  <c r="R163" s="1"/>
  <c r="R171" s="1"/>
  <c r="R179" s="1"/>
  <c r="R33"/>
  <c r="R34" s="1"/>
  <c r="R54"/>
  <c r="R58" s="1"/>
  <c r="R59" s="1"/>
  <c r="T123"/>
  <c r="T163" s="1"/>
  <c r="T171" s="1"/>
  <c r="T179" s="1"/>
  <c r="T33"/>
  <c r="T34" s="1"/>
  <c r="T54"/>
  <c r="T58" s="1"/>
  <c r="T59" s="1"/>
  <c r="V33"/>
  <c r="V34" s="1"/>
  <c r="V54"/>
  <c r="V58" s="1"/>
  <c r="V59" s="1"/>
  <c r="E123"/>
  <c r="E163" s="1"/>
  <c r="E171" s="1"/>
  <c r="E179" s="1"/>
  <c r="E33"/>
  <c r="E34" s="1"/>
  <c r="E54"/>
  <c r="G123"/>
  <c r="G163" s="1"/>
  <c r="G171" s="1"/>
  <c r="G179" s="1"/>
  <c r="G54"/>
  <c r="G58" s="1"/>
  <c r="G59" s="1"/>
  <c r="K123"/>
  <c r="K33"/>
  <c r="K34" s="1"/>
  <c r="K54"/>
  <c r="K58" s="1"/>
  <c r="K59" s="1"/>
  <c r="M123"/>
  <c r="M163" s="1"/>
  <c r="M171" s="1"/>
  <c r="M179" s="1"/>
  <c r="M33"/>
  <c r="M34" s="1"/>
  <c r="M54"/>
  <c r="M58" s="1"/>
  <c r="M59" s="1"/>
  <c r="O123"/>
  <c r="O163" s="1"/>
  <c r="O171" s="1"/>
  <c r="O179" s="1"/>
  <c r="O33"/>
  <c r="O34" s="1"/>
  <c r="O54"/>
  <c r="O58" s="1"/>
  <c r="O59" s="1"/>
  <c r="Q33"/>
  <c r="Q34" s="1"/>
  <c r="S123"/>
  <c r="S163" s="1"/>
  <c r="S171" s="1"/>
  <c r="S179" s="1"/>
  <c r="S33"/>
  <c r="S34" s="1"/>
  <c r="S54"/>
  <c r="S58" s="1"/>
  <c r="S59" s="1"/>
  <c r="U123"/>
  <c r="U163" s="1"/>
  <c r="U171" s="1"/>
  <c r="U179" s="1"/>
  <c r="U33"/>
  <c r="U34" s="1"/>
  <c r="U54"/>
  <c r="U58" s="1"/>
  <c r="U59" s="1"/>
  <c r="W123"/>
  <c r="W163" s="1"/>
  <c r="W33"/>
  <c r="W34" s="1"/>
  <c r="W54"/>
  <c r="W58" s="1"/>
  <c r="W59" s="1"/>
  <c r="X102" l="1"/>
  <c r="Y102" s="1"/>
  <c r="L54"/>
  <c r="L58" s="1"/>
  <c r="L59" s="1"/>
  <c r="D108"/>
  <c r="I33"/>
  <c r="I34" s="1"/>
  <c r="D33"/>
  <c r="N33"/>
  <c r="N34" s="1"/>
  <c r="L123"/>
  <c r="L163" s="1"/>
  <c r="L171" s="1"/>
  <c r="L179" s="1"/>
  <c r="I54"/>
  <c r="I58" s="1"/>
  <c r="I59" s="1"/>
  <c r="D54"/>
  <c r="D58" s="1"/>
  <c r="X23"/>
  <c r="Y23" s="1"/>
  <c r="N54"/>
  <c r="N58" s="1"/>
  <c r="N59" s="1"/>
  <c r="Z23"/>
  <c r="Q54"/>
  <c r="Q58" s="1"/>
  <c r="Q59" s="1"/>
  <c r="G33"/>
  <c r="G34" s="1"/>
  <c r="F163"/>
  <c r="F171" s="1"/>
  <c r="F179" s="1"/>
  <c r="Z83"/>
  <c r="D85"/>
  <c r="Z85" s="1"/>
  <c r="K163"/>
  <c r="K171" s="1"/>
  <c r="K179" s="1"/>
  <c r="X84"/>
  <c r="Y84" s="1"/>
  <c r="Z84"/>
  <c r="X105"/>
  <c r="Y105" s="1"/>
  <c r="X141"/>
  <c r="Y141" s="1"/>
  <c r="Z105"/>
  <c r="D109"/>
  <c r="Z109" s="1"/>
  <c r="Z141"/>
  <c r="X123"/>
  <c r="Y123" s="1"/>
  <c r="W171"/>
  <c r="W179" s="1"/>
  <c r="X108"/>
  <c r="Y108" s="1"/>
  <c r="Z108"/>
  <c r="Y126"/>
  <c r="E58"/>
  <c r="E59" s="1"/>
  <c r="D34"/>
  <c r="Z162"/>
  <c r="X162"/>
  <c r="Y162" s="1"/>
  <c r="Z160"/>
  <c r="X160"/>
  <c r="Y160" s="1"/>
  <c r="Z51"/>
  <c r="D57"/>
  <c r="X51"/>
  <c r="Y51" s="1"/>
  <c r="X32"/>
  <c r="Y32" s="1"/>
  <c r="Z32"/>
  <c r="Z123"/>
  <c r="Z161"/>
  <c r="X161"/>
  <c r="Y161" s="1"/>
  <c r="D163"/>
  <c r="D171" s="1"/>
  <c r="X109" l="1"/>
  <c r="Y109" s="1"/>
  <c r="X85"/>
  <c r="Y85" s="1"/>
  <c r="X33"/>
  <c r="Y33" s="1"/>
  <c r="Z33"/>
  <c r="Z54"/>
  <c r="X86"/>
  <c r="X54"/>
  <c r="Y54" s="1"/>
  <c r="D110"/>
  <c r="Z110" s="1"/>
  <c r="D179"/>
  <c r="X179" s="1"/>
  <c r="Z171"/>
  <c r="X171"/>
  <c r="Y171" s="1"/>
  <c r="Z163"/>
  <c r="X163"/>
  <c r="Y163" s="1"/>
  <c r="Z57"/>
  <c r="X57"/>
  <c r="Y57" s="1"/>
  <c r="D59"/>
  <c r="Z34"/>
  <c r="X35"/>
  <c r="X34"/>
  <c r="Y34" s="1"/>
  <c r="Z58"/>
  <c r="X58"/>
  <c r="Y58" s="1"/>
  <c r="X110"/>
  <c r="Y110" s="1"/>
  <c r="X111" l="1"/>
  <c r="Z59"/>
  <c r="X60"/>
  <c r="X59"/>
  <c r="Y59" s="1"/>
  <c r="Z179"/>
  <c r="Y179"/>
</calcChain>
</file>

<file path=xl/sharedStrings.xml><?xml version="1.0" encoding="utf-8"?>
<sst xmlns="http://schemas.openxmlformats.org/spreadsheetml/2006/main" count="1481" uniqueCount="325">
  <si>
    <t>Short-stay charges</t>
  </si>
  <si>
    <t>Overnight charges</t>
  </si>
  <si>
    <t>Total charges for 200moorings</t>
  </si>
  <si>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</si>
  <si>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Year</t>
  </si>
  <si>
    <t>Total</t>
  </si>
  <si>
    <t>One-off Costs</t>
  </si>
  <si>
    <t>Annual Costs</t>
  </si>
  <si>
    <t>Total Costs</t>
  </si>
  <si>
    <t>Total one-off costs</t>
  </si>
  <si>
    <t>Total annual costs</t>
  </si>
  <si>
    <t>-</t>
  </si>
  <si>
    <t>Total mooring charges (£m/yr)</t>
  </si>
  <si>
    <t>All calculations in this spreadsheet are based on the outputs of a feasibilibily study of installing 200 eco-moorings at Studland Bay (Marina Projects, 2011). Sensitivity analysis was carried out as part of the feasibility study that considered the costs and revenues associated with a 100 eco-mooring scenario. Where figures for the 100 mooring scenario were made available in the report, these are used in the MCZ impact calculations. Where necessary assumptions have been made, based on information provided in the sensitivity analysis, in order to estimate costs and revenues associated with a 100 eco-mooring scenario.</t>
  </si>
  <si>
    <t>Sub total</t>
  </si>
  <si>
    <t>Contingency @25%</t>
  </si>
  <si>
    <t>Installation</t>
  </si>
  <si>
    <t>Mooring Buoys</t>
  </si>
  <si>
    <t>Sea flex to Buoy strop</t>
  </si>
  <si>
    <t>Ground anchors</t>
  </si>
  <si>
    <t>Method related charges</t>
  </si>
  <si>
    <t>Prelims</t>
  </si>
  <si>
    <t>General items</t>
  </si>
  <si>
    <t>Works</t>
  </si>
  <si>
    <t>Contingency @20%</t>
  </si>
  <si>
    <t>Legals - licenses/agreements</t>
  </si>
  <si>
    <t>Professional fees (@7% of works cost)</t>
  </si>
  <si>
    <t>Site investigation</t>
  </si>
  <si>
    <t>Licenses and consents</t>
  </si>
  <si>
    <t>Fees</t>
  </si>
  <si>
    <t>Proportion of 200 mooring scenario cost expected for the 100 mooring scenario</t>
  </si>
  <si>
    <t>Note: excludes depreciation</t>
  </si>
  <si>
    <t>Total operational costs</t>
  </si>
  <si>
    <t>Other costs: incl. salaries, marketing etc</t>
  </si>
  <si>
    <t>Equipment  contracts, repairs &amp; maintenance</t>
  </si>
  <si>
    <t>Table 2: Capital costs for removal of existing moorings, installation of 100 new eco-moorings (£m, one-off cost in 2013))</t>
  </si>
  <si>
    <t>Table 3: Operating Costs for eco-moorings and enforcement/monitoring of a no-anchor zone (£, annual recurring from 2014)</t>
  </si>
  <si>
    <t>Table 1: Cost to boaters of using the 100 eco-moorings (£m, annual recurring from 2014)</t>
  </si>
  <si>
    <t>The operating costs will be covered by the revenue generated by charging for the moorings. They are shown here to show the full range of costs, but have not been included in the headline cost figures.</t>
  </si>
  <si>
    <t xml:space="preserve">All calculations in this spreadsheet are based on the outputs of a feasibilibily study of installing 200 eco-moorings at Studland Bay (Marina Projects, 2011). Sensitivity analysis was carried out as part of the feasibility study that considered the costs and revenues associated with a 200 eco-mooring scenario. </t>
  </si>
  <si>
    <t>Table 2: Capital costs for installation of 200 new eco-moorings (£m, one-off cost in 2013))</t>
  </si>
  <si>
    <t>Table 1: Cost to boaters of using the 200 eco-moorings (£m, annual recurring from 2014)</t>
  </si>
  <si>
    <t>Marina Projects 200 moorings scenario</t>
  </si>
  <si>
    <t>Balanced Seas 100 moorings scenario</t>
  </si>
  <si>
    <t>- Proportion of 200 mooring scenario cost expected for the 100 mooring scenario assumptions made by Balanced Seas based on information provided in the Marina Projects (2011) sensitivity analysis</t>
  </si>
  <si>
    <t>All calculations in this spreadsheet are based on the outputs of a feasibilibily study of installing 200 eco-moorings at Studland Bay (Marina Projects, 2011). Where necessary assumptions have been made, based on information provided in the sensitivity analysis, in order to estimate costs and revenues associated with a 30 eco-mooring scenario.</t>
  </si>
  <si>
    <t>Table 1: Cost to boaters of using the 30 eco-moorings (£m, annual recurring from 2014)</t>
  </si>
  <si>
    <t>Total charges for 30 moorings</t>
  </si>
  <si>
    <t>- Proportion of 200 mooring scenario cost expected for the 30 mooring scenario assumptions made by Balanced Seas based on information provided in the Marina Projects (2011) sensitivity analysis</t>
  </si>
  <si>
    <t>Table 2: Capital costs for removal of existing moorings, installation of 30 new eco-moorings (£m, one-off cost in 2013))</t>
  </si>
  <si>
    <t>Balanced Seas 30 moorings scenario</t>
  </si>
  <si>
    <t>Proportion of 200 mooring scenario cost expected for the 30 mooring scenario</t>
  </si>
  <si>
    <t>- Proportion of 200 mooring scenario cost expected for the 100 mooring scenario assumptions made by Finding Sanctuary based on information provided in the Marina Projects (2011) sensitivity analysis</t>
  </si>
  <si>
    <t>Number of racing participant days</t>
  </si>
  <si>
    <t>Locals</t>
  </si>
  <si>
    <t>Visitors</t>
  </si>
  <si>
    <t>Carrick Roads race events participant days</t>
  </si>
  <si>
    <t>The Bay race events participant days</t>
  </si>
  <si>
    <t>Total participant days</t>
  </si>
  <si>
    <t>- 1 racing participant day = 1 day of racing by 1 individual</t>
  </si>
  <si>
    <t>- Number of particpant racing days based on a conversion of PoFSA race calendar (see Table 6, source: PoFSA)</t>
  </si>
  <si>
    <t>Visitor spend (£m/yr</t>
  </si>
  <si>
    <t>Expenditure/yr</t>
  </si>
  <si>
    <t>Carrick Roads race events expenditure</t>
  </si>
  <si>
    <t>The Bay race events expenditure</t>
  </si>
  <si>
    <t>Total expenditure</t>
  </si>
  <si>
    <t xml:space="preserve">Reduction in Carrick Roads races expenditure </t>
  </si>
  <si>
    <t xml:space="preserve">Reduction in The Bay races expenditure </t>
  </si>
  <si>
    <t>Total reduction in expenditure</t>
  </si>
  <si>
    <t>- Typical spend per visiting participant: £70/day (source: see Table 5)</t>
  </si>
  <si>
    <t>Number of boats owned</t>
  </si>
  <si>
    <t>Running costs/boat (£m/yr)</t>
  </si>
  <si>
    <t>Total boat running cost expenditure (£m/yr)</t>
  </si>
  <si>
    <t xml:space="preserve">Yachts </t>
  </si>
  <si>
    <t>Other craft</t>
  </si>
  <si>
    <t>- Boat running costs source: PoFSA</t>
  </si>
  <si>
    <t>Local Economic Impact</t>
  </si>
  <si>
    <t>Locals (£m/yr)</t>
  </si>
  <si>
    <t>Visitors (£m/yr)</t>
  </si>
  <si>
    <t>Total (£m/yr)</t>
  </si>
  <si>
    <t>Gross reduction in expenditure (£m/yr)</t>
  </si>
  <si>
    <t>Net reduction in expenditure (£m/yr)</t>
  </si>
  <si>
    <t>Net reduction in GVA (£m/yr)</t>
  </si>
  <si>
    <t>UK Economic Impact</t>
  </si>
  <si>
    <t>- Gross expenditure figures are adjusted for displacement and substituation. Displacement and substitution allow for the transfer of expenditure to other activities and locations</t>
  </si>
  <si>
    <t>- Displacement and substitution adjustements for the local economy. In light of a lack of appropriate evidence, the assumptions set out here are arbitrary.</t>
  </si>
  <si>
    <t>- Local expenditure: it is assumed that 50% of the lost running costs expenditure is retained in the local economy through the transfer of this expenditure to other activities</t>
  </si>
  <si>
    <t>- Visitor expenditure: it is assumed that visiting particpants will no longer make their visits to Falmouth and therefore that 100% of the expenditure is lost from the local economy</t>
  </si>
  <si>
    <t>- Displacement and substitution adjustements for the UK economy. In light of a lack of appropriate evidence, the assumptions set out here are arbitrary</t>
  </si>
  <si>
    <t>- GVA conversion factor: defined as the propoprtion of expenditure that contributes to Gross Value Added (GVA)</t>
  </si>
  <si>
    <t>- GVA as a proportion of expenditure: 47% - Based on a marine tourism conversion factor provided in Charting Progress 2 (Defra, 2010). It is assumed that tourism expenditure equates to revenue to tourism businesses.</t>
  </si>
  <si>
    <t>Table 5: Visitor (race participant) Spend at Sailing Events</t>
  </si>
  <si>
    <t>Expenditure figures include daily expenditure and accommodation costs</t>
  </si>
  <si>
    <t>49er European Championships at Weymouth &amp; Portland (2006)</t>
  </si>
  <si>
    <t>£/day/visitor</t>
  </si>
  <si>
    <t>Re-basing of prices calculations</t>
  </si>
  <si>
    <t>Average spend per visiting competitor</t>
  </si>
  <si>
    <t>2006 prices</t>
  </si>
  <si>
    <t>CPI Index (2005=100)</t>
  </si>
  <si>
    <t>2010 prices</t>
  </si>
  <si>
    <t>Skandia Life Cowes Week (2000)</t>
  </si>
  <si>
    <t>Staying visitors (serviced &amp; non-serviced)</t>
  </si>
  <si>
    <t>2000 prices</t>
  </si>
  <si>
    <t>Staying visitors (home of friends/relatives)</t>
  </si>
  <si>
    <t>Average of Skandia Life Cowes Week and 49er European Championships</t>
  </si>
  <si>
    <t>Sources:</t>
  </si>
  <si>
    <t xml:space="preserve">Case studies by Dwyer, L; Forsyth, P and Spurr, R, cited in TSE Research Services (2009). The Significance of Sailing to South Hampshire and the Isles of Wight's Vistor Economy </t>
  </si>
  <si>
    <t>Table 6: PoFSA Race Calendar - Conversion of race events into participant race days</t>
  </si>
  <si>
    <t>Source: PoFSA</t>
  </si>
  <si>
    <t>1 participant race day = 1 day of racing by 1 individual</t>
  </si>
  <si>
    <t>Day</t>
  </si>
  <si>
    <t>Date</t>
  </si>
  <si>
    <t>Club</t>
  </si>
  <si>
    <t>Event</t>
  </si>
  <si>
    <t>crew per boat</t>
  </si>
  <si>
    <t>Carrick roads</t>
  </si>
  <si>
    <t>Falmouth Bay</t>
  </si>
  <si>
    <t>Local</t>
  </si>
  <si>
    <t>RCYC</t>
  </si>
  <si>
    <t>Friday Series</t>
  </si>
  <si>
    <t>Saturday</t>
  </si>
  <si>
    <t>Sunday</t>
  </si>
  <si>
    <t>RSC</t>
  </si>
  <si>
    <t>Monday</t>
  </si>
  <si>
    <t>Tuesday</t>
  </si>
  <si>
    <t>FSC</t>
  </si>
  <si>
    <t>Tuesday Nights</t>
  </si>
  <si>
    <t>Wednesday</t>
  </si>
  <si>
    <t>Thursday</t>
  </si>
  <si>
    <t>Friday</t>
  </si>
  <si>
    <t>Sat Series</t>
  </si>
  <si>
    <t>Wednesday series</t>
  </si>
  <si>
    <t>MYC</t>
  </si>
  <si>
    <t>Friday evenings</t>
  </si>
  <si>
    <t>Saturday Series</t>
  </si>
  <si>
    <t>StMSC</t>
  </si>
  <si>
    <t>Thursday series</t>
  </si>
  <si>
    <t>Pursuit Series</t>
  </si>
  <si>
    <t>Int 6 metre</t>
  </si>
  <si>
    <t>Sparkmans Stephenson rally</t>
  </si>
  <si>
    <t>St MSC</t>
  </si>
  <si>
    <t>Ballad nationals</t>
  </si>
  <si>
    <t>Firefly SW area</t>
  </si>
  <si>
    <t>Frank peters FWBA</t>
  </si>
  <si>
    <t>Optimist Chapionship</t>
  </si>
  <si>
    <t>Laser 4.7</t>
  </si>
  <si>
    <t>FWBA Star&amp;garter cup</t>
  </si>
  <si>
    <t>Club racing</t>
  </si>
  <si>
    <t>Fal estuary cruise</t>
  </si>
  <si>
    <t>Finn Classic Regatta</t>
  </si>
  <si>
    <t>Mirror Open</t>
  </si>
  <si>
    <t>Whit Series</t>
  </si>
  <si>
    <t>PoFSA</t>
  </si>
  <si>
    <t>Loe beach Regatta</t>
  </si>
  <si>
    <t>Sunday Series</t>
  </si>
  <si>
    <t>Savills Regatta</t>
  </si>
  <si>
    <t>FWBA Toby West race</t>
  </si>
  <si>
    <t>FWBA Grace &amp; Gebhard Cups</t>
  </si>
  <si>
    <t>Challenge Cups</t>
  </si>
  <si>
    <t>FWBA WORLD CHAMPS</t>
  </si>
  <si>
    <t>Schools Regatta</t>
  </si>
  <si>
    <t>Point &amp; Penpol</t>
  </si>
  <si>
    <t>Tuesday Nights &amp; FWBA</t>
  </si>
  <si>
    <t>Fancy Dress Regatta</t>
  </si>
  <si>
    <t>Mylor Village regatta</t>
  </si>
  <si>
    <t>Wenesday Series</t>
  </si>
  <si>
    <t>St Mawes Social Club</t>
  </si>
  <si>
    <t>FWBA heard Cup</t>
  </si>
  <si>
    <t>Laity &amp; Furze Cups</t>
  </si>
  <si>
    <t>Ajax nationals</t>
  </si>
  <si>
    <t>Flushing Village</t>
  </si>
  <si>
    <t>JOG</t>
  </si>
  <si>
    <t>St mawes Town</t>
  </si>
  <si>
    <t>Pandora Inn Cup</t>
  </si>
  <si>
    <t>FWBA Percy Dalton Cup</t>
  </si>
  <si>
    <t>Falmouth Classics</t>
  </si>
  <si>
    <t>Falmouth week</t>
  </si>
  <si>
    <t>Falmouth dinghy week</t>
  </si>
  <si>
    <t>Falmouth dinghy weel</t>
  </si>
  <si>
    <t>Mirror nationals</t>
  </si>
  <si>
    <t>J/24 nationals</t>
  </si>
  <si>
    <t>Percuil village Regatta</t>
  </si>
  <si>
    <t>FWBA TROPHIES</t>
  </si>
  <si>
    <t>Saturday Series &amp; FWBA</t>
  </si>
  <si>
    <t>FSc</t>
  </si>
  <si>
    <t>Anchors Down</t>
  </si>
  <si>
    <t>FSC/RCYC</t>
  </si>
  <si>
    <t>Sunbeam team racing</t>
  </si>
  <si>
    <t>Saturday Series &amp; FWBA harb race</t>
  </si>
  <si>
    <t>K6 nationals</t>
  </si>
  <si>
    <t>FWBA Greenlawns race</t>
  </si>
  <si>
    <t>Optimist IOCA</t>
  </si>
  <si>
    <t>Saturdays &amp; FWBA</t>
  </si>
  <si>
    <t>FWBA Victory Inn</t>
  </si>
  <si>
    <t>Sunday pursuits</t>
  </si>
  <si>
    <t>Saturdays</t>
  </si>
  <si>
    <t>Firefly Fun day</t>
  </si>
  <si>
    <t>FWBA</t>
  </si>
  <si>
    <t>Oyster Festival race</t>
  </si>
  <si>
    <t>FWBA SILVER OYSTER RACE</t>
  </si>
  <si>
    <t>Eco-moorings capital works</t>
  </si>
  <si>
    <t>Charter boat loss of earnings</t>
  </si>
  <si>
    <t>Mooring costs</t>
  </si>
  <si>
    <t>Reduction in racing</t>
  </si>
  <si>
    <t>- GVA conversion factor assumption: defined as the propoprtion of expenditure that contributes to Gross Value Added (GVA)</t>
  </si>
  <si>
    <t>Present value of total cost</t>
  </si>
  <si>
    <t>Max. fishing days lost</t>
  </si>
  <si>
    <t>Cost per day (£)</t>
  </si>
  <si>
    <t>Total cumulative loss of earnings</t>
  </si>
  <si>
    <t>GVA</t>
  </si>
  <si>
    <t>EIA</t>
  </si>
  <si>
    <t>Assumption: it is assumed that expenditure by visiting competitors to Falmouth equates to this average</t>
  </si>
  <si>
    <t>- Boat running costs equate to the local economy expenditure by boat owners</t>
  </si>
  <si>
    <t>Locals spend (£m/yr)</t>
  </si>
  <si>
    <t>Total spend (£m/yr</t>
  </si>
  <si>
    <t>Day visitors (local residents)</t>
  </si>
  <si>
    <t>Assumption: it is assumed that expenditure by local resident competitors equates to this figure</t>
  </si>
  <si>
    <t>Portsmouth Harbour Events (1999-2001)</t>
  </si>
  <si>
    <t>- Visitor expenditure: it is assumed that 75% of the lost visiting participant expenditure is retained in the UK economy through the transfer of this expenditure to other activities and UK locations. 25% is lost out of the UK economy due to non-UK visiting participants no longer visiting the UK and some international events being relocated to non-UK locations.</t>
  </si>
  <si>
    <t>- Local expenditure: it is assumed that 75% of the lost running costs expenditure is retained in the UK economy through the transfer of this expenditure to other activities and other locations in the UK. 25% is assumed to be lost through reduced expenditure on recreation in the UK and increased expenditure outside the UK.</t>
  </si>
  <si>
    <t>- reduction in all Falmouth racing (Carrick Road and The Bay) &amp; associated expenditure as a result of the pMCZ: 25% (source: opinion of PoFSA, taking into account the ability for race officers to use alternative courses that do not result in impacts to the pMCZ, and allowing for a wider reduction in racing as a result of a diminished ability of Falmouth to offer racing in all weather conditions.)</t>
  </si>
  <si>
    <t>Reduction in Expenditure/yr:</t>
  </si>
  <si>
    <t>- Typical spend per local participant: £20/day (source: Table 5)</t>
  </si>
  <si>
    <t>- Reduction in local 'racing' boat ownership: 25% (source: PoFSA)</t>
  </si>
  <si>
    <t xml:space="preserve">It is generally unclear the extent to which affected vessels will experience a loss of earnings and the extent to which they will be able to offset the effects of the management scenario by operating in other areas.  This will differ between sites depending on home port position and effects of clusters of sites e.g. operators based in Ramsgate stated they could easily fish elsewhere whereas those based in Deal may find it harder to operate elsewhere.  The IA estimates the total earnings affected for the charter boat operators. This is likely to be an over-estimate for some sites where suitable alternative grounds for angling are available nearby, however appropriate information on which to adjust the value of earnings affected was not obtained. Impacts on non-UK charter businesses and those operating from other parts of the UK have not been quantified.   </t>
  </si>
  <si>
    <t>All calculations in this spreadsheet are based on the outputs of a feasibilibily study of installing 200 eco-moorings at Studland Bay (Marina Projects, 2011). Sensitivity analysis was carried out as part of the feasibility study that considered the costs and revenues associated with a 100 eco-mooring scenario. Where necessary assumptions have been made, based on information provided in the sensitivity analysis, in order to estimate costs and revenues associated with a 300 eco-mooring scenario.</t>
  </si>
  <si>
    <t>Proportion of 200 mooring scenario cost expected for the 300 mooring scenario</t>
  </si>
  <si>
    <t>Balanced Seas 300 moorings scenario</t>
  </si>
  <si>
    <t>- Proportion of 200 mooring scenario cost expected for the 300 mooring scenario assumptions made by Balanced Seas based on information provided in the Marina Projects (2011) sensitivity analysis</t>
  </si>
  <si>
    <t>Table 2: Capital costs for removal of existing moorings, installation of 300 new eco-moorings (£m, one-off cost in 2013))</t>
  </si>
  <si>
    <t>Table 1: Cost to boaters of using the 300 eco-moorings (£m, annual recurring from 2014)</t>
  </si>
  <si>
    <t>Table 1: Cost to boaters of using the 6 eco-moorings (£m, annual recurring from 2014)</t>
  </si>
  <si>
    <t>All calculations in this spreadsheet are based on the outputs of a feasibilibily study of installing 200 eco-moorings at Studland Bay (Marina Projects, 2011). Where necessary assumptions have been made, based on information provided in the sensitivity analysis, in order to estimate costs and revenues associated with a 6 eco-mooring scenario.</t>
  </si>
  <si>
    <t>Table 2: Capital costs for removal of existing moorings, installation of 6 new eco-moorings (£m, one-off cost in 2013))</t>
  </si>
  <si>
    <t>Proportion of 200 mooring scenario cost expected for the 6 mooring scenario</t>
  </si>
  <si>
    <t>Balanced Seas 6 moorings scenario</t>
  </si>
  <si>
    <t>- Proportion of 200 mooring scenario cost expected for the 6 mooring scenario assumptions made by Balanced Seas based on information provided in the Marina Projects (2011) sensitivity analysis</t>
  </si>
  <si>
    <t>Total charges for 6 moorings</t>
  </si>
  <si>
    <t>Present Value</t>
  </si>
  <si>
    <t>Total charges for 300 moorings</t>
  </si>
  <si>
    <t>Table 2: Management Scenario 2 - Values of earning affected for charter boats based in Keyhaven, Langstone Harbour, Lymington, Portsmouth and Yarmouth estimated fishing days, numbers of vessels and costs supplied by Solent/IOW/Hants Local Group Charter Boat Representative Arthur Savage, Lymington, pers comms. January 2012</t>
  </si>
  <si>
    <t>Table 3: Management Scenario 2 - Value of earning affected for charter boats based in Langstone Harbour and Portsmouth estimated fishing days, numbers of vessels and costs supplied by Charter Boat Operator Steve Wall Palmer, Langstone Harbour, January 2012</t>
  </si>
  <si>
    <t>Scenario 2</t>
  </si>
  <si>
    <t>Scenario 1</t>
  </si>
  <si>
    <t>*The costs provided in this spreadsheet only represent those which could be quantified. Other recreation costs may be associated with these pMCZs and other pMCZs. Please refer to Annex I for further details</t>
  </si>
  <si>
    <t>Balanced Seas Total</t>
  </si>
  <si>
    <t>Finding Sanctuary Total</t>
  </si>
  <si>
    <t>Table 1: Management Scenario 2 - Value of earnings affected for charter boats based in Deal, Dover, Dungeness, Folkestone, Ramsgate &amp; Rye estimated by Balanced Seas project team using estimates provided by RSG Charter Boat Representative Dave Hancock (Ramsgate, pers comms. January 2012), outputs from Stakmap and knowledge of activity from the MCZ planning process</t>
  </si>
  <si>
    <t>MCZ IA Calculations: Recreation: Balanced Seas - Charter boat earnings affected - Management Scenario (only 1 proposed)</t>
  </si>
  <si>
    <t xml:space="preserve">rMCZ Reference Area 6 Goodwin Knoll </t>
  </si>
  <si>
    <t xml:space="preserve">rMCZ Reference Area 7 South Foreland Lighthouse </t>
  </si>
  <si>
    <t xml:space="preserve">rMCZ Reference Area 25 Flying Fortress </t>
  </si>
  <si>
    <t xml:space="preserve">rMCZ Reference Area 8 Hythe Flats </t>
  </si>
  <si>
    <t xml:space="preserve">rMCZ Reference Area 18 St Catherine's Point West </t>
  </si>
  <si>
    <t>Number of Vessels affected</t>
  </si>
  <si>
    <t>Notes:</t>
  </si>
  <si>
    <t>Balanced Seas</t>
  </si>
  <si>
    <t xml:space="preserve">rMCZ Reference Area 14 Wight-Barfleur </t>
  </si>
  <si>
    <t>Total charges for 200 moorings</t>
  </si>
  <si>
    <t>Notes: excludes depreciation</t>
  </si>
  <si>
    <t>Total Capital Costs</t>
  </si>
  <si>
    <t>MCZ IA Calculations and Assumptions: Recreation: Balanced Seas - rMCZ 19 Norris to Ryde (Osborne Bay) - Management Scenario 2</t>
  </si>
  <si>
    <t>MCZ IA Calculations and Assumptions: Recreation: Balanced Seas - rMCZ 22 Bembridge (Priory Bay) - Management Scenario 2</t>
  </si>
  <si>
    <t>MCZ IA Calculations and Assumptions: Recreation: Balanced Seas - rMCZ 23 Yarmouth to Cowes - Management Scenario 2</t>
  </si>
  <si>
    <t>MCZ IA Calculations and Assumptions: Recreation: Balanced Seas - rMCZ Reference Area 3 Holehaven Creek - Management Scenario (only 1 proposed)</t>
  </si>
  <si>
    <t>MCZ IA Calculations and Assumptions: Recreation: Balanced Seas - rMCZ Reference Area 24 Harwich Haven - Management Scenario (only 1 proposed)</t>
  </si>
  <si>
    <t>MCZ IA Calculations and Assumptions: Recreation: Finding Sanctuary - rMCZ Studland Bay - Management Scenario (only 1 proposed)</t>
  </si>
  <si>
    <t>Finding Sanctuary 100 moorings scenario</t>
  </si>
  <si>
    <t>MCZ IA Calculations and Assumptions: Recreation: Finding Sanctuary - rMCZ Reference Area The Fal - Management Scenario (only 1 proposed)</t>
  </si>
  <si>
    <t>Assumptions, notes and source:</t>
  </si>
  <si>
    <t>Table 1: Impact of rMCZ on racing participant days</t>
  </si>
  <si>
    <t>Table 2: Impact of rMCZ on visiting racing participant expenditure</t>
  </si>
  <si>
    <t>Reduction (£m/yr), Scenario A</t>
  </si>
  <si>
    <t>Table 3: Impact of rMCZ on locally owned (PoFSA members) racing boat running costs expenditure</t>
  </si>
  <si>
    <t>Table 4: Impact of rMCZ on local and UK economies (based on averages of Scenarios A and B)</t>
  </si>
  <si>
    <t>A: Expenditure by Visitors</t>
  </si>
  <si>
    <t>Percentage change</t>
  </si>
  <si>
    <t>B: Expenditure by Locals</t>
  </si>
  <si>
    <t>CPI Index, Office for National Statistics</t>
  </si>
  <si>
    <t>number of boats</t>
  </si>
  <si>
    <t>Total participant race days</t>
  </si>
  <si>
    <t>rMCZ 19 Norris to Ryde: eco-moorings capital works</t>
  </si>
  <si>
    <t>rMCZ 22 Bembridge:  eco-moorings capital works</t>
  </si>
  <si>
    <t>rMCZ 23 Yarmouth to Cowes: eco-moorings capital works</t>
  </si>
  <si>
    <t>rMCZ Reference Area 3 Holehaven Creek: eco-moorings capital works</t>
  </si>
  <si>
    <t>rMCZ Reference Area 24 Harwich Haven: eco-moorings capital works</t>
  </si>
  <si>
    <t>rMCZ 19 Norris to Ryde: mooring costs (+ any operating costs shortfall)</t>
  </si>
  <si>
    <t>rMCZ 22 Bembridge: mooring costs (+ any operating costs shortfall)</t>
  </si>
  <si>
    <t>rMCZ 23 Yarmouth to Cowes: mooring costs (+ any operating costs shortfall)</t>
  </si>
  <si>
    <t>rMCZ Reference Area 3 Holehaven Creek: mooring costs (+ any operating costs shortfall)</t>
  </si>
  <si>
    <t>rMCZ Reference Area 24 Harwich Haven: mooring costs (+ any operating costs shortfall)</t>
  </si>
  <si>
    <t>rMCZ Reference Area 6 Goodwin Knoll: charter boat earnings affected</t>
  </si>
  <si>
    <t>rMCZ Reference Area 25 Flying Fortress: charter boat earnings affected</t>
  </si>
  <si>
    <t>rMCZ Reference Area 14 Wight-Barfleur: charter boat earnings affected</t>
  </si>
  <si>
    <t>rMCZ Reference Area 8 Hythe Flats: charter boat earnings affected</t>
  </si>
  <si>
    <t>rMCZ Reference Area 18 St Catherine's Point West: charter boat earnings affected</t>
  </si>
  <si>
    <t>rMCZ Reference Area 7 South Foreland Lighthouse: charter boat earnings affected</t>
  </si>
  <si>
    <t xml:space="preserve">Balanced Seas </t>
  </si>
  <si>
    <t>rMCZ Studland Bay: eco-moorings capital works</t>
  </si>
  <si>
    <t>rMCZ Studland Bay: mooring costs (+ any operating costs shortfall)</t>
  </si>
  <si>
    <t xml:space="preserve">rMCZ Reference Area The Fal: Reduction in Falmouth racing  </t>
  </si>
  <si>
    <t>All Regional Project Areas</t>
  </si>
  <si>
    <t xml:space="preserve">Finding Sanctuary </t>
  </si>
  <si>
    <t>rMCZ Studland Bay</t>
  </si>
  <si>
    <t>rMCZ Reference Area The Fal</t>
  </si>
  <si>
    <t>rMCZ Reference Area 8 Hythe Flats</t>
  </si>
  <si>
    <t>rMCZ Reference Area 14 Wight-Barfleur</t>
  </si>
  <si>
    <t>rMCZ Reference Area 25 Flying Fortress</t>
  </si>
  <si>
    <t>rMCZ Reference Area 6 Goodwin Knoll</t>
  </si>
  <si>
    <t>rMCZ Reference Area 24 Harwich Haven</t>
  </si>
  <si>
    <t>rMCZ Reference Area 3 Holehaven Creek</t>
  </si>
  <si>
    <t>rMCZ 23 Yarmouth to Cowes</t>
  </si>
  <si>
    <t>rMCZ 22 Bembridge</t>
  </si>
  <si>
    <t>rMCZ 19 Norris to Ryde</t>
  </si>
  <si>
    <t>rMCZ Reference Area 18 St Catherine's Point West</t>
  </si>
  <si>
    <t>rMCZ Reference Area 7 South Foreland Lighthouse</t>
  </si>
  <si>
    <t>Best estimate of cost</t>
  </si>
  <si>
    <t>Annual Average</t>
  </si>
  <si>
    <t xml:space="preserve">MCZ IA Calculations: Recreation: rMCZ network Present Value (PV) Costs </t>
  </si>
  <si>
    <t>(Gross Value Added; £millions; constant prices)</t>
  </si>
  <si>
    <t>rMCZ network Present Value (PV) Costs (Gross Value Added; £millions; constant prices)</t>
  </si>
  <si>
    <t>Number of year in analysis</t>
  </si>
  <si>
    <t>Analysis by rMCZ</t>
  </si>
  <si>
    <t>Best Estimate Assumption</t>
  </si>
  <si>
    <r>
      <t>Annex N12 from Finding Sanctuary, Irish Seas Conservation Zones, Net Gain and Balanced Seas. 2012.</t>
    </r>
    <r>
      <rPr>
        <i/>
        <sz val="10"/>
        <color theme="1"/>
        <rFont val="Arial"/>
        <family val="2"/>
      </rPr>
      <t xml:space="preserve"> Impact Assessment materials in support of the Regional Marine Conservation Zone Projects’ Recommendations.</t>
    </r>
  </si>
</sst>
</file>

<file path=xl/styles.xml><?xml version="1.0" encoding="utf-8"?>
<styleSheet xmlns="http://schemas.openxmlformats.org/spreadsheetml/2006/main">
  <numFmts count="9">
    <numFmt numFmtId="6" formatCode="&quot;£&quot;#,##0;[Red]\-&quot;£&quot;#,##0"/>
    <numFmt numFmtId="164" formatCode="0.000"/>
    <numFmt numFmtId="165" formatCode="#,##0.000"/>
    <numFmt numFmtId="166" formatCode="[$-F800]dddd\,\ mmmm\ dd\,\ yyyy"/>
    <numFmt numFmtId="167" formatCode="#,##0.000_ ;\-#,##0.000\ "/>
    <numFmt numFmtId="168" formatCode="#,##0_ ;\-#,##0\ "/>
    <numFmt numFmtId="169" formatCode="0.0"/>
    <numFmt numFmtId="170" formatCode="#,##0.00_ ;[Red]\-#,##0.00\ "/>
    <numFmt numFmtId="171" formatCode="#,##0.000_ ;[Red]\-#,##0.000\ "/>
  </numFmts>
  <fonts count="13">
    <font>
      <sz val="11"/>
      <color theme="1"/>
      <name val="Calibri"/>
      <family val="2"/>
      <scheme val="minor"/>
    </font>
    <font>
      <sz val="10"/>
      <color theme="1"/>
      <name val="Arial"/>
      <family val="2"/>
    </font>
    <font>
      <sz val="10"/>
      <color theme="1"/>
      <name val="Arial"/>
      <family val="2"/>
    </font>
    <font>
      <b/>
      <u/>
      <sz val="10"/>
      <color theme="1"/>
      <name val="Arial"/>
      <family val="2"/>
    </font>
    <font>
      <b/>
      <sz val="10"/>
      <color theme="1"/>
      <name val="Arial"/>
      <family val="2"/>
    </font>
    <font>
      <i/>
      <u/>
      <sz val="10"/>
      <color theme="1"/>
      <name val="Arial"/>
      <family val="2"/>
    </font>
    <font>
      <b/>
      <sz val="14"/>
      <name val="Arial"/>
      <family val="2"/>
    </font>
    <font>
      <sz val="14"/>
      <name val="Arial"/>
      <family val="2"/>
    </font>
    <font>
      <sz val="10"/>
      <name val="Arial"/>
      <family val="2"/>
    </font>
    <font>
      <i/>
      <sz val="10"/>
      <color theme="1"/>
      <name val="Arial"/>
      <family val="2"/>
    </font>
    <font>
      <u/>
      <sz val="10"/>
      <color theme="1"/>
      <name val="Arial"/>
      <family val="2"/>
    </font>
    <font>
      <b/>
      <i/>
      <u/>
      <sz val="10"/>
      <color theme="1"/>
      <name val="Arial"/>
      <family val="2"/>
    </font>
    <font>
      <b/>
      <i/>
      <sz val="10"/>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82">
    <xf numFmtId="0" fontId="0" fillId="0" borderId="0" xfId="0"/>
    <xf numFmtId="0" fontId="4" fillId="0" borderId="0" xfId="0" applyFont="1"/>
    <xf numFmtId="0" fontId="5" fillId="0" borderId="0" xfId="0" applyFont="1"/>
    <xf numFmtId="0" fontId="4" fillId="0" borderId="0" xfId="0" applyFont="1" applyBorder="1"/>
    <xf numFmtId="0" fontId="5" fillId="0" borderId="0" xfId="0" applyFont="1" applyFill="1"/>
    <xf numFmtId="0" fontId="4" fillId="0" borderId="0" xfId="0" applyFont="1" applyBorder="1" applyAlignment="1">
      <alignment horizontal="right"/>
    </xf>
    <xf numFmtId="0" fontId="4" fillId="0" borderId="10" xfId="0" applyFont="1" applyBorder="1"/>
    <xf numFmtId="0" fontId="3" fillId="0" borderId="0" xfId="0" applyFont="1"/>
    <xf numFmtId="0" fontId="3" fillId="0" borderId="0" xfId="0" applyFont="1" applyBorder="1" applyAlignment="1">
      <alignment horizontal="left"/>
    </xf>
    <xf numFmtId="0" fontId="2" fillId="0" borderId="3" xfId="0" applyFont="1" applyBorder="1"/>
    <xf numFmtId="0" fontId="2" fillId="0" borderId="0" xfId="0" quotePrefix="1" applyFont="1" applyFill="1" applyBorder="1"/>
    <xf numFmtId="0" fontId="2" fillId="0" borderId="0" xfId="0" applyFont="1"/>
    <xf numFmtId="0" fontId="4" fillId="0" borderId="0" xfId="0" applyFont="1" applyAlignment="1">
      <alignment horizontal="left" vertical="center" wrapText="1"/>
    </xf>
    <xf numFmtId="0" fontId="2" fillId="0" borderId="0" xfId="0" applyFont="1" applyBorder="1"/>
    <xf numFmtId="0" fontId="2" fillId="0" borderId="0" xfId="0" applyFont="1" applyBorder="1" applyAlignment="1">
      <alignment horizontal="left"/>
    </xf>
    <xf numFmtId="0" fontId="2" fillId="0" borderId="1" xfId="0" applyFont="1" applyBorder="1"/>
    <xf numFmtId="0" fontId="2" fillId="0" borderId="0" xfId="0" applyFont="1" applyFill="1" applyBorder="1"/>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top" wrapText="1"/>
    </xf>
    <xf numFmtId="0" fontId="4" fillId="0" borderId="0" xfId="0" applyFont="1" applyAlignment="1">
      <alignment vertical="top" wrapText="1"/>
    </xf>
    <xf numFmtId="0" fontId="4" fillId="2" borderId="3" xfId="0" applyFont="1" applyFill="1" applyBorder="1" applyAlignment="1">
      <alignment horizontal="left" vertical="center" wrapText="1"/>
    </xf>
    <xf numFmtId="0" fontId="4" fillId="2" borderId="3" xfId="0" applyFont="1" applyFill="1" applyBorder="1" applyAlignment="1">
      <alignment horizontal="right" vertical="center" wrapText="1"/>
    </xf>
    <xf numFmtId="0" fontId="4" fillId="0" borderId="0" xfId="0" applyFont="1" applyBorder="1" applyAlignment="1">
      <alignment horizontal="left"/>
    </xf>
    <xf numFmtId="0" fontId="4" fillId="0" borderId="0" xfId="0" quotePrefix="1" applyFont="1" applyFill="1" applyBorder="1" applyAlignment="1">
      <alignment horizontal="right"/>
    </xf>
    <xf numFmtId="0" fontId="2" fillId="0" borderId="10" xfId="0" applyFont="1" applyBorder="1" applyAlignment="1">
      <alignment horizontal="left"/>
    </xf>
    <xf numFmtId="0" fontId="2" fillId="0" borderId="8" xfId="0" applyFont="1" applyBorder="1" applyAlignment="1">
      <alignment horizontal="left"/>
    </xf>
    <xf numFmtId="0" fontId="2" fillId="0" borderId="1" xfId="0" applyFont="1" applyFill="1" applyBorder="1"/>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2" fillId="0" borderId="10" xfId="0" applyFont="1" applyBorder="1"/>
    <xf numFmtId="0" fontId="2" fillId="0" borderId="13" xfId="0" applyFont="1" applyBorder="1"/>
    <xf numFmtId="0" fontId="4" fillId="0" borderId="13" xfId="0" applyFont="1" applyBorder="1"/>
    <xf numFmtId="0" fontId="2" fillId="0" borderId="8" xfId="0" applyFont="1" applyBorder="1"/>
    <xf numFmtId="0" fontId="2" fillId="0" borderId="14" xfId="0" applyFont="1" applyBorder="1"/>
    <xf numFmtId="0" fontId="2" fillId="0" borderId="4" xfId="0" applyFont="1" applyBorder="1" applyAlignment="1">
      <alignment horizontal="left"/>
    </xf>
    <xf numFmtId="0" fontId="2" fillId="0" borderId="2" xfId="0" applyFont="1" applyBorder="1"/>
    <xf numFmtId="0" fontId="2" fillId="0" borderId="11" xfId="0" applyFont="1" applyBorder="1"/>
    <xf numFmtId="0" fontId="2" fillId="0" borderId="4" xfId="0" applyFont="1" applyBorder="1"/>
    <xf numFmtId="0" fontId="4" fillId="0" borderId="10" xfId="0" applyFont="1" applyBorder="1" applyAlignment="1">
      <alignment horizontal="left"/>
    </xf>
    <xf numFmtId="0" fontId="2" fillId="0" borderId="0" xfId="0" quotePrefix="1" applyFont="1" applyBorder="1"/>
    <xf numFmtId="167" fontId="2" fillId="0" borderId="0" xfId="0" applyNumberFormat="1" applyFont="1" applyBorder="1"/>
    <xf numFmtId="0" fontId="8" fillId="2" borderId="0" xfId="0" applyFont="1" applyFill="1" applyAlignment="1">
      <alignment vertical="center"/>
    </xf>
    <xf numFmtId="0" fontId="5" fillId="0" borderId="0" xfId="0" applyFont="1" applyBorder="1"/>
    <xf numFmtId="3" fontId="2" fillId="0" borderId="0" xfId="0" applyNumberFormat="1" applyFont="1" applyBorder="1"/>
    <xf numFmtId="0" fontId="9" fillId="0" borderId="0" xfId="0" quotePrefix="1" applyFont="1" applyFill="1" applyBorder="1"/>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horizontal="right" wrapText="1"/>
    </xf>
    <xf numFmtId="9" fontId="2" fillId="0" borderId="0" xfId="0" applyNumberFormat="1" applyFont="1" applyBorder="1"/>
    <xf numFmtId="165" fontId="2" fillId="0" borderId="0" xfId="0" applyNumberFormat="1" applyFont="1" applyBorder="1"/>
    <xf numFmtId="0" fontId="2" fillId="0" borderId="0" xfId="0" quotePrefix="1" applyFont="1" applyBorder="1" applyAlignment="1">
      <alignment horizontal="right"/>
    </xf>
    <xf numFmtId="165" fontId="4" fillId="0" borderId="0" xfId="0" quotePrefix="1" applyNumberFormat="1" applyFont="1" applyBorder="1" applyAlignment="1">
      <alignment horizontal="right"/>
    </xf>
    <xf numFmtId="165" fontId="4" fillId="0" borderId="0" xfId="0" applyNumberFormat="1" applyFont="1" applyBorder="1"/>
    <xf numFmtId="9" fontId="2" fillId="0" borderId="0" xfId="0" applyNumberFormat="1" applyFont="1" applyFill="1" applyBorder="1"/>
    <xf numFmtId="165" fontId="2" fillId="0" borderId="0" xfId="0" applyNumberFormat="1" applyFont="1" applyFill="1" applyBorder="1"/>
    <xf numFmtId="0" fontId="4" fillId="0" borderId="0" xfId="0" quotePrefix="1" applyFont="1" applyBorder="1" applyAlignment="1">
      <alignment horizontal="right"/>
    </xf>
    <xf numFmtId="0" fontId="9" fillId="0" borderId="0" xfId="0" quotePrefix="1" applyFont="1" applyFill="1" applyBorder="1" applyAlignment="1">
      <alignment wrapText="1"/>
    </xf>
    <xf numFmtId="0" fontId="4" fillId="0" borderId="0" xfId="0" applyFont="1" applyBorder="1" applyAlignment="1">
      <alignment wrapText="1"/>
    </xf>
    <xf numFmtId="0" fontId="2" fillId="2" borderId="5" xfId="0" applyFont="1" applyFill="1" applyBorder="1"/>
    <xf numFmtId="165" fontId="2" fillId="0" borderId="13" xfId="0" applyNumberFormat="1" applyFont="1" applyBorder="1"/>
    <xf numFmtId="0" fontId="2" fillId="0" borderId="5" xfId="0" applyFont="1" applyBorder="1"/>
    <xf numFmtId="0" fontId="4" fillId="0" borderId="8" xfId="0" applyFont="1" applyBorder="1"/>
    <xf numFmtId="165" fontId="4" fillId="0" borderId="14" xfId="0" applyNumberFormat="1" applyFont="1" applyBorder="1"/>
    <xf numFmtId="0" fontId="4" fillId="2" borderId="5" xfId="0" applyFont="1" applyFill="1" applyBorder="1"/>
    <xf numFmtId="0" fontId="4" fillId="2" borderId="6" xfId="0" applyFont="1" applyFill="1" applyBorder="1" applyAlignment="1">
      <alignment horizontal="right" wrapText="1"/>
    </xf>
    <xf numFmtId="3" fontId="2" fillId="2" borderId="6" xfId="0" applyNumberFormat="1" applyFont="1" applyFill="1" applyBorder="1"/>
    <xf numFmtId="165" fontId="2" fillId="0" borderId="11" xfId="0" applyNumberFormat="1" applyFont="1" applyBorder="1"/>
    <xf numFmtId="165" fontId="4" fillId="0" borderId="13" xfId="0" applyNumberFormat="1" applyFont="1" applyBorder="1"/>
    <xf numFmtId="0" fontId="2" fillId="0" borderId="10" xfId="0" applyFont="1" applyFill="1" applyBorder="1"/>
    <xf numFmtId="165" fontId="2" fillId="0" borderId="13" xfId="0" applyNumberFormat="1" applyFont="1" applyFill="1" applyBorder="1"/>
    <xf numFmtId="0" fontId="4" fillId="2" borderId="5" xfId="0" applyFont="1" applyFill="1" applyBorder="1" applyAlignment="1">
      <alignment vertical="center"/>
    </xf>
    <xf numFmtId="0" fontId="2" fillId="0" borderId="0" xfId="0" quotePrefix="1" applyFont="1" applyBorder="1" applyAlignment="1">
      <alignment horizontal="right" vertical="center"/>
    </xf>
    <xf numFmtId="0" fontId="4" fillId="2" borderId="5" xfId="0" applyFont="1" applyFill="1" applyBorder="1" applyAlignment="1">
      <alignment horizontal="left" vertical="center"/>
    </xf>
    <xf numFmtId="0" fontId="2" fillId="0" borderId="4" xfId="0" applyFont="1" applyBorder="1" applyAlignment="1">
      <alignment wrapText="1"/>
    </xf>
    <xf numFmtId="0" fontId="2" fillId="0" borderId="0" xfId="0" applyFont="1" applyAlignment="1">
      <alignment vertical="top"/>
    </xf>
    <xf numFmtId="0" fontId="4" fillId="2" borderId="8" xfId="0" applyFont="1" applyFill="1" applyBorder="1"/>
    <xf numFmtId="0" fontId="4" fillId="2" borderId="14" xfId="0" applyFont="1" applyFill="1" applyBorder="1" applyAlignment="1">
      <alignment horizontal="right" wrapText="1"/>
    </xf>
    <xf numFmtId="165" fontId="2" fillId="0" borderId="14" xfId="0" applyNumberFormat="1" applyFont="1" applyBorder="1"/>
    <xf numFmtId="0" fontId="2" fillId="2" borderId="0" xfId="0" applyFont="1" applyFill="1"/>
    <xf numFmtId="0" fontId="4" fillId="2" borderId="3" xfId="0" applyFont="1" applyFill="1" applyBorder="1" applyAlignment="1">
      <alignment horizontal="right" wrapText="1"/>
    </xf>
    <xf numFmtId="0" fontId="4" fillId="2" borderId="5" xfId="0" applyFont="1" applyFill="1" applyBorder="1" applyAlignment="1">
      <alignment horizontal="center"/>
    </xf>
    <xf numFmtId="165" fontId="2" fillId="0" borderId="2" xfId="0" applyNumberFormat="1" applyFont="1" applyBorder="1"/>
    <xf numFmtId="9" fontId="2" fillId="0" borderId="2" xfId="0" applyNumberFormat="1" applyFont="1" applyBorder="1"/>
    <xf numFmtId="165" fontId="4" fillId="0" borderId="1" xfId="0" applyNumberFormat="1" applyFont="1" applyBorder="1"/>
    <xf numFmtId="0" fontId="4" fillId="0" borderId="1" xfId="0" quotePrefix="1" applyFont="1" applyBorder="1" applyAlignment="1">
      <alignment horizontal="right"/>
    </xf>
    <xf numFmtId="165" fontId="8" fillId="0" borderId="0" xfId="0" applyNumberFormat="1" applyFont="1" applyBorder="1"/>
    <xf numFmtId="0" fontId="2" fillId="0" borderId="0" xfId="0" applyFont="1" applyBorder="1" applyAlignment="1"/>
    <xf numFmtId="165" fontId="8" fillId="0" borderId="2" xfId="0" applyNumberFormat="1" applyFont="1" applyBorder="1"/>
    <xf numFmtId="0" fontId="4" fillId="0" borderId="1" xfId="0" applyFont="1" applyBorder="1"/>
    <xf numFmtId="0" fontId="2" fillId="0" borderId="0" xfId="0" quotePrefix="1" applyFont="1" applyFill="1" applyBorder="1" applyAlignment="1">
      <alignment wrapText="1"/>
    </xf>
    <xf numFmtId="0" fontId="4" fillId="2" borderId="4" xfId="0" applyFont="1" applyFill="1" applyBorder="1"/>
    <xf numFmtId="0" fontId="4" fillId="2" borderId="11" xfId="0" applyFont="1" applyFill="1" applyBorder="1" applyAlignment="1">
      <alignment horizontal="right" wrapText="1"/>
    </xf>
    <xf numFmtId="0" fontId="11" fillId="2" borderId="5" xfId="0" applyFont="1" applyFill="1" applyBorder="1"/>
    <xf numFmtId="2" fontId="2" fillId="0" borderId="0" xfId="0" applyNumberFormat="1" applyFont="1" applyBorder="1" applyAlignment="1">
      <alignment vertical="center" wrapText="1"/>
    </xf>
    <xf numFmtId="0" fontId="2" fillId="0" borderId="0" xfId="0" quotePrefix="1" applyFont="1" applyFill="1" applyBorder="1" applyAlignment="1">
      <alignment horizontal="left" wrapText="1"/>
    </xf>
    <xf numFmtId="0" fontId="4" fillId="2" borderId="2" xfId="0" applyFont="1" applyFill="1" applyBorder="1" applyAlignment="1">
      <alignment horizontal="right" wrapText="1"/>
    </xf>
    <xf numFmtId="0" fontId="2" fillId="0" borderId="0" xfId="0" applyFont="1" applyAlignment="1">
      <alignment horizontal="left" vertical="top" wrapText="1"/>
    </xf>
    <xf numFmtId="0" fontId="10" fillId="0" borderId="0" xfId="0" applyFont="1" applyBorder="1"/>
    <xf numFmtId="166" fontId="2" fillId="0" borderId="0" xfId="0" applyNumberFormat="1" applyFont="1"/>
    <xf numFmtId="0" fontId="2" fillId="0" borderId="0" xfId="0" applyFont="1" applyAlignment="1">
      <alignment wrapText="1"/>
    </xf>
    <xf numFmtId="166" fontId="2" fillId="0" borderId="0" xfId="0" applyNumberFormat="1" applyFont="1" applyBorder="1"/>
    <xf numFmtId="0" fontId="2" fillId="0" borderId="0" xfId="0" applyFont="1" applyBorder="1" applyAlignment="1">
      <alignment horizontal="right"/>
    </xf>
    <xf numFmtId="1" fontId="2" fillId="0" borderId="0" xfId="0" applyNumberFormat="1" applyFont="1" applyBorder="1"/>
    <xf numFmtId="0" fontId="9" fillId="0" borderId="0" xfId="0" applyFont="1"/>
    <xf numFmtId="0" fontId="9" fillId="0" borderId="0" xfId="0" applyFont="1" applyBorder="1"/>
    <xf numFmtId="164" fontId="2" fillId="0" borderId="0" xfId="0" applyNumberFormat="1" applyFont="1" applyBorder="1"/>
    <xf numFmtId="164" fontId="2" fillId="0" borderId="0" xfId="0" applyNumberFormat="1" applyFont="1" applyBorder="1" applyAlignment="1">
      <alignment horizontal="left"/>
    </xf>
    <xf numFmtId="6" fontId="2" fillId="0" borderId="0" xfId="0" applyNumberFormat="1" applyFont="1" applyBorder="1" applyAlignment="1">
      <alignment horizontal="left"/>
    </xf>
    <xf numFmtId="1" fontId="4" fillId="0" borderId="0" xfId="0" applyNumberFormat="1" applyFont="1" applyBorder="1"/>
    <xf numFmtId="168" fontId="2" fillId="0" borderId="0" xfId="0" applyNumberFormat="1" applyFont="1" applyBorder="1"/>
    <xf numFmtId="167" fontId="2" fillId="0" borderId="1" xfId="0" applyNumberFormat="1" applyFont="1" applyBorder="1"/>
    <xf numFmtId="9" fontId="9" fillId="0" borderId="0" xfId="0" applyNumberFormat="1" applyFont="1" applyBorder="1"/>
    <xf numFmtId="164" fontId="2" fillId="0" borderId="0" xfId="0" applyNumberFormat="1" applyFont="1" applyBorder="1" applyAlignment="1">
      <alignment horizontal="right"/>
    </xf>
    <xf numFmtId="165" fontId="2" fillId="0" borderId="0" xfId="0" applyNumberFormat="1" applyFont="1" applyBorder="1" applyAlignment="1">
      <alignment horizontal="left"/>
    </xf>
    <xf numFmtId="0" fontId="2" fillId="0" borderId="0" xfId="0" quotePrefix="1" applyFont="1" applyBorder="1" applyAlignment="1">
      <alignment horizontal="left" wrapText="1" indent="2"/>
    </xf>
    <xf numFmtId="0" fontId="2" fillId="0" borderId="0" xfId="0" applyFont="1" applyBorder="1" applyAlignment="1">
      <alignment horizontal="left" wrapText="1" indent="2"/>
    </xf>
    <xf numFmtId="2" fontId="2" fillId="0" borderId="0" xfId="0" applyNumberFormat="1" applyFont="1" applyBorder="1"/>
    <xf numFmtId="0" fontId="2" fillId="0" borderId="0" xfId="0" applyFont="1" applyBorder="1" applyAlignment="1">
      <alignment vertical="top"/>
    </xf>
    <xf numFmtId="1" fontId="2" fillId="0" borderId="0" xfId="0" applyNumberFormat="1" applyFont="1"/>
    <xf numFmtId="0" fontId="2" fillId="0" borderId="0" xfId="0" applyFont="1" applyAlignment="1">
      <alignment horizontal="right" wrapText="1"/>
    </xf>
    <xf numFmtId="0" fontId="2" fillId="0" borderId="12" xfId="0" applyFont="1" applyBorder="1"/>
    <xf numFmtId="1" fontId="2" fillId="0" borderId="12" xfId="0" applyNumberFormat="1" applyFont="1" applyBorder="1" applyAlignment="1">
      <alignment wrapText="1"/>
    </xf>
    <xf numFmtId="1" fontId="2" fillId="0" borderId="12" xfId="0" applyNumberFormat="1" applyFont="1" applyBorder="1"/>
    <xf numFmtId="166" fontId="4" fillId="0" borderId="0" xfId="0" applyNumberFormat="1" applyFont="1"/>
    <xf numFmtId="9" fontId="2" fillId="0" borderId="0" xfId="0" applyNumberFormat="1" applyFont="1" applyBorder="1" applyAlignment="1">
      <alignment horizontal="left"/>
    </xf>
    <xf numFmtId="17" fontId="2" fillId="0" borderId="0" xfId="0" applyNumberFormat="1" applyFont="1" applyBorder="1"/>
    <xf numFmtId="169" fontId="2" fillId="0" borderId="0" xfId="0" applyNumberFormat="1" applyFont="1" applyBorder="1"/>
    <xf numFmtId="0" fontId="2" fillId="2" borderId="8" xfId="0" applyFont="1" applyFill="1" applyBorder="1"/>
    <xf numFmtId="0" fontId="4" fillId="2" borderId="8" xfId="0" applyFont="1" applyFill="1" applyBorder="1" applyAlignment="1">
      <alignment horizontal="right"/>
    </xf>
    <xf numFmtId="0" fontId="4" fillId="2" borderId="1" xfId="0" applyFont="1" applyFill="1" applyBorder="1" applyAlignment="1">
      <alignment horizontal="right"/>
    </xf>
    <xf numFmtId="0" fontId="4" fillId="2" borderId="14" xfId="0" applyFont="1" applyFill="1" applyBorder="1" applyAlignment="1">
      <alignment horizontal="right"/>
    </xf>
    <xf numFmtId="1" fontId="2" fillId="0" borderId="2" xfId="0" applyNumberFormat="1" applyFont="1" applyBorder="1"/>
    <xf numFmtId="1" fontId="2" fillId="0" borderId="11" xfId="0" applyNumberFormat="1" applyFont="1" applyBorder="1"/>
    <xf numFmtId="1" fontId="2" fillId="0" borderId="13" xfId="0" applyNumberFormat="1" applyFont="1" applyBorder="1"/>
    <xf numFmtId="1" fontId="4" fillId="0" borderId="1" xfId="0" applyNumberFormat="1" applyFont="1" applyBorder="1"/>
    <xf numFmtId="1" fontId="4" fillId="0" borderId="14" xfId="0" applyNumberFormat="1" applyFont="1" applyBorder="1"/>
    <xf numFmtId="166" fontId="4" fillId="2" borderId="3" xfId="0" applyNumberFormat="1" applyFont="1" applyFill="1" applyBorder="1" applyAlignment="1">
      <alignment horizontal="right" wrapText="1"/>
    </xf>
    <xf numFmtId="1" fontId="4" fillId="2" borderId="3" xfId="0" applyNumberFormat="1" applyFont="1" applyFill="1" applyBorder="1" applyAlignment="1">
      <alignment horizontal="right" wrapText="1"/>
    </xf>
    <xf numFmtId="1" fontId="4" fillId="2" borderId="6" xfId="0" applyNumberFormat="1" applyFont="1" applyFill="1" applyBorder="1" applyAlignment="1">
      <alignment horizontal="right" wrapText="1"/>
    </xf>
    <xf numFmtId="164" fontId="4" fillId="0" borderId="0" xfId="0" applyNumberFormat="1" applyFont="1" applyBorder="1"/>
    <xf numFmtId="164" fontId="2" fillId="0" borderId="2" xfId="0" applyNumberFormat="1" applyFont="1" applyBorder="1"/>
    <xf numFmtId="164" fontId="2" fillId="0" borderId="11" xfId="0" applyNumberFormat="1" applyFont="1" applyBorder="1"/>
    <xf numFmtId="164" fontId="2" fillId="0" borderId="13" xfId="0" applyNumberFormat="1" applyFont="1" applyBorder="1"/>
    <xf numFmtId="164" fontId="4" fillId="0" borderId="13" xfId="0" applyNumberFormat="1" applyFont="1" applyBorder="1"/>
    <xf numFmtId="164" fontId="4" fillId="0" borderId="1" xfId="0" applyNumberFormat="1" applyFont="1" applyBorder="1"/>
    <xf numFmtId="164" fontId="4" fillId="0" borderId="14" xfId="0" applyNumberFormat="1" applyFont="1" applyBorder="1"/>
    <xf numFmtId="0" fontId="2" fillId="0" borderId="0" xfId="0" applyFont="1" applyFill="1" applyBorder="1" applyAlignment="1">
      <alignment wrapText="1"/>
    </xf>
    <xf numFmtId="1" fontId="2" fillId="0" borderId="0" xfId="0" applyNumberFormat="1" applyFont="1" applyBorder="1" applyAlignment="1">
      <alignment wrapText="1"/>
    </xf>
    <xf numFmtId="0" fontId="4" fillId="2" borderId="5" xfId="0" applyFont="1" applyFill="1" applyBorder="1" applyAlignment="1">
      <alignment horizontal="right" wrapText="1"/>
    </xf>
    <xf numFmtId="168" fontId="2" fillId="0" borderId="2" xfId="0" applyNumberFormat="1" applyFont="1" applyBorder="1"/>
    <xf numFmtId="167" fontId="2" fillId="0" borderId="2" xfId="0" applyNumberFormat="1" applyFont="1" applyBorder="1"/>
    <xf numFmtId="0" fontId="2" fillId="0" borderId="10" xfId="0" applyFont="1" applyBorder="1" applyAlignment="1"/>
    <xf numFmtId="0" fontId="4" fillId="0" borderId="8" xfId="0" applyFont="1" applyBorder="1" applyAlignment="1"/>
    <xf numFmtId="168" fontId="4" fillId="0" borderId="1" xfId="0" applyNumberFormat="1" applyFont="1" applyBorder="1"/>
    <xf numFmtId="167" fontId="4" fillId="0" borderId="1" xfId="0" applyNumberFormat="1" applyFont="1" applyBorder="1"/>
    <xf numFmtId="167" fontId="4" fillId="0" borderId="14" xfId="0" applyNumberFormat="1" applyFont="1" applyBorder="1"/>
    <xf numFmtId="0" fontId="12" fillId="2" borderId="5" xfId="0" applyFont="1" applyFill="1" applyBorder="1"/>
    <xf numFmtId="164" fontId="2" fillId="0" borderId="2" xfId="0" applyNumberFormat="1" applyFont="1" applyBorder="1" applyAlignment="1">
      <alignment horizontal="right"/>
    </xf>
    <xf numFmtId="167" fontId="2" fillId="0" borderId="11" xfId="0" applyNumberFormat="1" applyFont="1" applyBorder="1"/>
    <xf numFmtId="167" fontId="2" fillId="0" borderId="13" xfId="0" applyNumberFormat="1" applyFont="1" applyBorder="1"/>
    <xf numFmtId="167" fontId="2" fillId="0" borderId="14" xfId="0" applyNumberFormat="1" applyFont="1" applyBorder="1"/>
    <xf numFmtId="0" fontId="8" fillId="0" borderId="0" xfId="0" applyFont="1" applyBorder="1" applyAlignment="1">
      <alignment wrapText="1"/>
    </xf>
    <xf numFmtId="0" fontId="2" fillId="2" borderId="3" xfId="0" applyFont="1" applyFill="1" applyBorder="1"/>
    <xf numFmtId="0" fontId="4" fillId="2" borderId="3" xfId="0" applyFont="1" applyFill="1" applyBorder="1"/>
    <xf numFmtId="0" fontId="4" fillId="2" borderId="3" xfId="0" applyFont="1" applyFill="1" applyBorder="1" applyAlignment="1">
      <alignment horizontal="right"/>
    </xf>
    <xf numFmtId="169" fontId="2" fillId="0" borderId="14" xfId="0" applyNumberFormat="1" applyFont="1" applyBorder="1"/>
    <xf numFmtId="170" fontId="2" fillId="0" borderId="11" xfId="0" applyNumberFormat="1" applyFont="1" applyBorder="1"/>
    <xf numFmtId="2" fontId="2" fillId="0" borderId="13" xfId="0" applyNumberFormat="1" applyFont="1" applyBorder="1"/>
    <xf numFmtId="2" fontId="2" fillId="0" borderId="14" xfId="0" applyNumberFormat="1" applyFont="1" applyBorder="1"/>
    <xf numFmtId="0" fontId="4" fillId="2" borderId="6" xfId="0" applyFont="1" applyFill="1" applyBorder="1" applyAlignment="1">
      <alignment horizontal="right"/>
    </xf>
    <xf numFmtId="2" fontId="2" fillId="0" borderId="6" xfId="0" applyNumberFormat="1" applyFont="1" applyBorder="1"/>
    <xf numFmtId="0" fontId="2" fillId="0" borderId="0" xfId="0" applyFont="1" applyFill="1" applyBorder="1" applyAlignment="1">
      <alignment horizontal="left"/>
    </xf>
    <xf numFmtId="0" fontId="9" fillId="0" borderId="0" xfId="0" applyFont="1" applyFill="1" applyBorder="1"/>
    <xf numFmtId="0" fontId="4" fillId="0" borderId="0" xfId="0" applyFont="1" applyFill="1" applyBorder="1" applyAlignment="1">
      <alignment vertical="center"/>
    </xf>
    <xf numFmtId="2" fontId="4" fillId="2" borderId="3" xfId="0" applyNumberFormat="1" applyFont="1" applyFill="1" applyBorder="1"/>
    <xf numFmtId="2" fontId="2" fillId="0" borderId="2" xfId="0" applyNumberFormat="1" applyFont="1" applyBorder="1"/>
    <xf numFmtId="0" fontId="2" fillId="2" borderId="6" xfId="0" applyFont="1" applyFill="1" applyBorder="1" applyAlignment="1">
      <alignment horizontal="right"/>
    </xf>
    <xf numFmtId="0" fontId="4" fillId="2" borderId="5" xfId="0" applyFont="1" applyFill="1" applyBorder="1" applyAlignment="1">
      <alignment horizontal="right"/>
    </xf>
    <xf numFmtId="0" fontId="12" fillId="0" borderId="0" xfId="0" applyFont="1" applyFill="1" applyBorder="1" applyAlignment="1"/>
    <xf numFmtId="0" fontId="12" fillId="0" borderId="0" xfId="0" applyFont="1" applyFill="1" applyBorder="1" applyAlignment="1">
      <alignment vertical="center"/>
    </xf>
    <xf numFmtId="0" fontId="2" fillId="2" borderId="4" xfId="0" applyFont="1" applyFill="1" applyBorder="1"/>
    <xf numFmtId="0" fontId="2" fillId="2" borderId="2" xfId="0" applyFont="1" applyFill="1" applyBorder="1"/>
    <xf numFmtId="0" fontId="4" fillId="2" borderId="2" xfId="0" applyFont="1" applyFill="1" applyBorder="1" applyAlignment="1">
      <alignment horizontal="right"/>
    </xf>
    <xf numFmtId="14" fontId="2" fillId="0" borderId="0" xfId="0" applyNumberFormat="1" applyFont="1" applyBorder="1"/>
    <xf numFmtId="166" fontId="2" fillId="0" borderId="1" xfId="0" applyNumberFormat="1" applyFont="1" applyBorder="1"/>
    <xf numFmtId="0" fontId="2" fillId="0" borderId="1" xfId="0" applyFont="1" applyBorder="1" applyAlignment="1">
      <alignment wrapText="1"/>
    </xf>
    <xf numFmtId="0" fontId="2" fillId="0" borderId="9" xfId="0" applyFont="1" applyBorder="1"/>
    <xf numFmtId="0" fontId="2" fillId="0" borderId="0" xfId="0" applyFont="1" applyFill="1"/>
    <xf numFmtId="164" fontId="2" fillId="0" borderId="10" xfId="0" applyNumberFormat="1" applyFont="1" applyBorder="1"/>
    <xf numFmtId="171" fontId="2" fillId="0" borderId="12" xfId="0" applyNumberFormat="1" applyFont="1" applyBorder="1"/>
    <xf numFmtId="164" fontId="2" fillId="0" borderId="1" xfId="0" applyNumberFormat="1" applyFont="1" applyBorder="1"/>
    <xf numFmtId="164" fontId="2" fillId="0" borderId="8" xfId="0" applyNumberFormat="1" applyFont="1" applyBorder="1"/>
    <xf numFmtId="164" fontId="2" fillId="0" borderId="0" xfId="0" applyNumberFormat="1" applyFont="1"/>
    <xf numFmtId="171" fontId="2" fillId="0" borderId="9" xfId="0" applyNumberFormat="1" applyFont="1" applyBorder="1"/>
    <xf numFmtId="164" fontId="2" fillId="0" borderId="0" xfId="0" applyNumberFormat="1" applyFont="1" applyAlignment="1"/>
    <xf numFmtId="0" fontId="2" fillId="0" borderId="0" xfId="0" applyFont="1" applyAlignment="1">
      <alignment horizontal="center"/>
    </xf>
    <xf numFmtId="0" fontId="3" fillId="2" borderId="4" xfId="0" applyFont="1" applyFill="1" applyBorder="1" applyAlignment="1">
      <alignment horizontal="left"/>
    </xf>
    <xf numFmtId="0" fontId="4" fillId="2" borderId="2" xfId="0" applyFont="1" applyFill="1" applyBorder="1"/>
    <xf numFmtId="0" fontId="2" fillId="2" borderId="1" xfId="0" applyFont="1" applyFill="1" applyBorder="1"/>
    <xf numFmtId="0" fontId="4" fillId="2" borderId="1" xfId="0" applyFont="1" applyFill="1" applyBorder="1"/>
    <xf numFmtId="0" fontId="2" fillId="0" borderId="0"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164" fontId="2" fillId="0" borderId="0" xfId="0" quotePrefix="1" applyNumberFormat="1" applyFont="1" applyBorder="1" applyAlignment="1">
      <alignment horizontal="right"/>
    </xf>
    <xf numFmtId="164" fontId="4" fillId="0" borderId="10" xfId="0" applyNumberFormat="1" applyFont="1" applyBorder="1"/>
    <xf numFmtId="164" fontId="4" fillId="0" borderId="0" xfId="0" quotePrefix="1" applyNumberFormat="1" applyFont="1" applyBorder="1" applyAlignment="1">
      <alignment horizontal="right"/>
    </xf>
    <xf numFmtId="0" fontId="4" fillId="0" borderId="12" xfId="0" applyFont="1" applyBorder="1"/>
    <xf numFmtId="171" fontId="4" fillId="0" borderId="12" xfId="0" applyNumberFormat="1" applyFont="1" applyBorder="1"/>
    <xf numFmtId="164" fontId="4" fillId="0" borderId="0" xfId="0" applyNumberFormat="1" applyFont="1"/>
    <xf numFmtId="164" fontId="2" fillId="0" borderId="1" xfId="0" quotePrefix="1" applyNumberFormat="1" applyFont="1" applyBorder="1" applyAlignment="1">
      <alignment horizontal="right"/>
    </xf>
    <xf numFmtId="164" fontId="4" fillId="0" borderId="8" xfId="0" applyNumberFormat="1" applyFont="1" applyBorder="1"/>
    <xf numFmtId="0" fontId="5" fillId="0" borderId="0" xfId="0" applyFont="1" applyFill="1" applyBorder="1"/>
    <xf numFmtId="0" fontId="4" fillId="0" borderId="0" xfId="0" applyFont="1" applyAlignment="1">
      <alignment horizontal="center"/>
    </xf>
    <xf numFmtId="0" fontId="8" fillId="0" borderId="0" xfId="0" applyFont="1" applyFill="1" applyAlignment="1">
      <alignment vertical="center"/>
    </xf>
    <xf numFmtId="0" fontId="1" fillId="0" borderId="0" xfId="0" applyFont="1" applyAlignment="1">
      <alignment horizontal="left"/>
    </xf>
    <xf numFmtId="0" fontId="2" fillId="0" borderId="0" xfId="0" applyFont="1" applyAlignment="1">
      <alignment horizontal="left"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center" wrapText="1"/>
    </xf>
    <xf numFmtId="0" fontId="2" fillId="2" borderId="9" xfId="0" applyFont="1" applyFill="1" applyBorder="1" applyAlignment="1">
      <alignment wrapText="1"/>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left" vertical="center"/>
    </xf>
    <xf numFmtId="0" fontId="4" fillId="0" borderId="0" xfId="0" applyFont="1" applyAlignment="1">
      <alignment horizontal="center" wrapText="1"/>
    </xf>
    <xf numFmtId="0" fontId="2" fillId="0" borderId="0" xfId="0" quotePrefix="1" applyFont="1" applyBorder="1" applyAlignment="1">
      <alignment horizontal="left" wrapText="1" indent="2"/>
    </xf>
    <xf numFmtId="0" fontId="2" fillId="0" borderId="0" xfId="0" applyFont="1" applyBorder="1" applyAlignment="1">
      <alignment horizontal="left" wrapText="1" indent="2"/>
    </xf>
    <xf numFmtId="0" fontId="2" fillId="0" borderId="0" xfId="0" applyFont="1" applyAlignment="1">
      <alignment horizontal="left" vertical="top" wrapText="1"/>
    </xf>
    <xf numFmtId="0" fontId="2" fillId="0" borderId="0" xfId="0" applyFont="1" applyAlignment="1">
      <alignment vertical="top" wrapText="1"/>
    </xf>
    <xf numFmtId="0" fontId="4" fillId="2" borderId="5" xfId="0" applyFont="1" applyFill="1" applyBorder="1" applyAlignment="1">
      <alignment vertical="center" wrapText="1"/>
    </xf>
    <xf numFmtId="0" fontId="2" fillId="2" borderId="6" xfId="0" applyFont="1" applyFill="1" applyBorder="1" applyAlignment="1">
      <alignment vertical="center" wrapText="1"/>
    </xf>
    <xf numFmtId="165" fontId="8" fillId="0" borderId="2" xfId="0" applyNumberFormat="1" applyFont="1" applyBorder="1" applyAlignment="1">
      <alignment horizontal="center"/>
    </xf>
    <xf numFmtId="165" fontId="8" fillId="0" borderId="11" xfId="0" applyNumberFormat="1" applyFont="1" applyBorder="1" applyAlignment="1">
      <alignment horizontal="center"/>
    </xf>
    <xf numFmtId="165" fontId="8" fillId="0" borderId="0" xfId="0" applyNumberFormat="1" applyFont="1" applyBorder="1" applyAlignment="1">
      <alignment horizontal="center"/>
    </xf>
    <xf numFmtId="165" fontId="8" fillId="0" borderId="13" xfId="0" applyNumberFormat="1" applyFont="1" applyBorder="1" applyAlignment="1">
      <alignment horizontal="center"/>
    </xf>
    <xf numFmtId="165" fontId="4" fillId="0" borderId="1" xfId="0" applyNumberFormat="1" applyFont="1" applyBorder="1" applyAlignment="1">
      <alignment horizontal="center"/>
    </xf>
    <xf numFmtId="165" fontId="4" fillId="0" borderId="14" xfId="0" applyNumberFormat="1" applyFont="1" applyBorder="1" applyAlignment="1">
      <alignment horizontal="center"/>
    </xf>
    <xf numFmtId="2" fontId="2" fillId="0" borderId="0" xfId="0" applyNumberFormat="1" applyFont="1" applyBorder="1" applyAlignment="1">
      <alignment horizontal="left" vertical="top" wrapText="1"/>
    </xf>
    <xf numFmtId="0" fontId="2" fillId="0" borderId="2" xfId="0" quotePrefix="1" applyFont="1" applyFill="1" applyBorder="1" applyAlignment="1">
      <alignment horizontal="left" vertical="top" wrapText="1"/>
    </xf>
    <xf numFmtId="0" fontId="2" fillId="0" borderId="0" xfId="0" quotePrefix="1" applyFont="1" applyFill="1" applyBorder="1" applyAlignment="1">
      <alignment horizontal="left" vertical="top" wrapText="1"/>
    </xf>
    <xf numFmtId="0" fontId="2" fillId="0" borderId="2" xfId="0" quotePrefix="1" applyFont="1" applyFill="1" applyBorder="1" applyAlignment="1">
      <alignment horizontal="left" wrapText="1"/>
    </xf>
    <xf numFmtId="2" fontId="2" fillId="0" borderId="0" xfId="0" applyNumberFormat="1" applyFont="1" applyBorder="1" applyAlignment="1">
      <alignment horizontal="left" vertical="center" wrapText="1"/>
    </xf>
    <xf numFmtId="0" fontId="4" fillId="2" borderId="6" xfId="0" applyFont="1" applyFill="1" applyBorder="1" applyAlignment="1">
      <alignment vertical="center" wrapText="1"/>
    </xf>
    <xf numFmtId="0" fontId="2" fillId="0" borderId="0" xfId="0" quotePrefix="1" applyFont="1" applyFill="1" applyBorder="1" applyAlignment="1">
      <alignment wrapText="1"/>
    </xf>
    <xf numFmtId="0" fontId="2" fillId="0" borderId="0" xfId="0" applyFont="1" applyBorder="1" applyAlignment="1"/>
    <xf numFmtId="0" fontId="4" fillId="2" borderId="6" xfId="0" applyFont="1" applyFill="1" applyBorder="1" applyAlignment="1">
      <alignment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0" borderId="2" xfId="0" quotePrefix="1" applyFont="1" applyFill="1" applyBorder="1" applyAlignment="1">
      <alignment horizontal="left" vertical="center" wrapText="1"/>
    </xf>
    <xf numFmtId="0" fontId="2" fillId="0" borderId="0" xfId="0" quotePrefix="1" applyFont="1" applyFill="1" applyBorder="1" applyAlignment="1">
      <alignment horizontal="left" vertical="center" wrapText="1"/>
    </xf>
    <xf numFmtId="0" fontId="4" fillId="2" borderId="4" xfId="0" applyFont="1" applyFill="1" applyBorder="1" applyAlignment="1">
      <alignment horizontal="left"/>
    </xf>
    <xf numFmtId="0" fontId="4" fillId="2" borderId="8" xfId="0" applyFont="1" applyFill="1" applyBorder="1" applyAlignment="1">
      <alignment horizontal="left"/>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4" xfId="0" applyFont="1" applyFill="1" applyBorder="1" applyAlignment="1">
      <alignment horizontal="center" wrapText="1"/>
    </xf>
    <xf numFmtId="0" fontId="4" fillId="2" borderId="4" xfId="0" applyFont="1" applyFill="1" applyBorder="1" applyAlignment="1">
      <alignment horizontal="center" wrapText="1"/>
    </xf>
    <xf numFmtId="0" fontId="4" fillId="2" borderId="8" xfId="0" applyFont="1" applyFill="1" applyBorder="1" applyAlignment="1">
      <alignment horizontal="center" wrapText="1"/>
    </xf>
    <xf numFmtId="166" fontId="4" fillId="2" borderId="2" xfId="0" applyNumberFormat="1" applyFont="1" applyFill="1" applyBorder="1" applyAlignment="1">
      <alignment horizontal="center"/>
    </xf>
    <xf numFmtId="166" fontId="4" fillId="2" borderId="1" xfId="0" applyNumberFormat="1" applyFont="1" applyFill="1" applyBorder="1" applyAlignment="1">
      <alignment horizontal="center"/>
    </xf>
    <xf numFmtId="0" fontId="4" fillId="2" borderId="2" xfId="0"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2" fillId="0" borderId="0" xfId="0" applyFont="1" applyBorder="1" applyAlignment="1">
      <alignment horizontal="left"/>
    </xf>
    <xf numFmtId="0" fontId="2" fillId="0" borderId="0" xfId="0" applyFont="1" applyBorder="1" applyAlignment="1">
      <alignment horizontal="left" vertical="top" wrapText="1"/>
    </xf>
    <xf numFmtId="0" fontId="2" fillId="0" borderId="2" xfId="0" applyFont="1" applyBorder="1" applyAlignment="1">
      <alignment horizontal="left"/>
    </xf>
    <xf numFmtId="0" fontId="2" fillId="0" borderId="0" xfId="0" quotePrefix="1" applyFont="1" applyBorder="1" applyAlignment="1">
      <alignment horizontal="left" vertical="center" wrapText="1"/>
    </xf>
    <xf numFmtId="0" fontId="2" fillId="0" borderId="0" xfId="0" quotePrefix="1" applyFont="1" applyBorder="1" applyAlignment="1">
      <alignment horizontal="left" vertical="center"/>
    </xf>
    <xf numFmtId="0" fontId="4" fillId="2" borderId="3" xfId="0" applyFont="1" applyFill="1" applyBorder="1" applyAlignment="1">
      <alignment horizontal="center"/>
    </xf>
    <xf numFmtId="0" fontId="2" fillId="0" borderId="0" xfId="0" quotePrefix="1" applyFont="1" applyBorder="1" applyAlignment="1">
      <alignment horizontal="left" vertical="top" wrapText="1"/>
    </xf>
    <xf numFmtId="0" fontId="8" fillId="0" borderId="0" xfId="0" quotePrefix="1" applyFont="1" applyBorder="1" applyAlignment="1">
      <alignment horizontal="left" vertical="center" wrapText="1"/>
    </xf>
    <xf numFmtId="0" fontId="2" fillId="0" borderId="0" xfId="0" quotePrefix="1" applyFont="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dimension ref="A1:AG180"/>
  <sheetViews>
    <sheetView tabSelected="1" zoomScale="80" zoomScaleNormal="80" workbookViewId="0">
      <selection activeCell="F78" sqref="F78"/>
    </sheetView>
  </sheetViews>
  <sheetFormatPr defaultRowHeight="12.75"/>
  <cols>
    <col min="1" max="1" width="4" style="11" customWidth="1"/>
    <col min="2" max="2" width="6.140625" style="11" customWidth="1"/>
    <col min="3" max="3" width="70.140625" style="11" customWidth="1"/>
    <col min="4" max="23" width="8.5703125" style="11" customWidth="1"/>
    <col min="24" max="25" width="10.140625" style="11" customWidth="1"/>
    <col min="26" max="27" width="9.140625" style="11"/>
    <col min="28" max="28" width="13.42578125" style="11" customWidth="1"/>
    <col min="29" max="16384" width="9.140625" style="11"/>
  </cols>
  <sheetData>
    <row r="1" spans="1:26" s="42" customFormat="1" ht="38.25" customHeight="1">
      <c r="A1" s="17" t="s">
        <v>318</v>
      </c>
    </row>
    <row r="2" spans="1:26" s="214" customFormat="1">
      <c r="A2" s="215" t="s">
        <v>324</v>
      </c>
    </row>
    <row r="3" spans="1:26">
      <c r="A3" s="11" t="s">
        <v>319</v>
      </c>
      <c r="B3" s="7"/>
      <c r="C3" s="7"/>
    </row>
    <row r="4" spans="1:26" ht="28.5" customHeight="1">
      <c r="A4" s="216" t="s">
        <v>3</v>
      </c>
      <c r="B4" s="216"/>
      <c r="C4" s="216"/>
      <c r="D4" s="216"/>
      <c r="E4" s="216"/>
      <c r="F4" s="216"/>
      <c r="G4" s="216"/>
      <c r="H4" s="216"/>
      <c r="I4" s="216"/>
      <c r="J4" s="216"/>
      <c r="K4" s="216"/>
      <c r="L4" s="216"/>
      <c r="M4" s="216"/>
      <c r="N4" s="216"/>
      <c r="O4" s="216"/>
      <c r="P4" s="100"/>
      <c r="Q4" s="100"/>
      <c r="R4" s="100"/>
      <c r="S4" s="100"/>
      <c r="T4" s="100"/>
      <c r="U4" s="100"/>
      <c r="V4" s="100"/>
      <c r="W4" s="100"/>
      <c r="X4" s="100"/>
      <c r="Y4" s="100"/>
    </row>
    <row r="5" spans="1:26" ht="14.25" customHeight="1">
      <c r="A5" s="216" t="s">
        <v>244</v>
      </c>
      <c r="B5" s="216"/>
      <c r="C5" s="216"/>
      <c r="D5" s="216"/>
      <c r="E5" s="216"/>
      <c r="F5" s="216"/>
      <c r="G5" s="216"/>
      <c r="H5" s="216"/>
      <c r="I5" s="216"/>
      <c r="J5" s="216"/>
      <c r="K5" s="216"/>
      <c r="L5" s="216"/>
      <c r="M5" s="216"/>
      <c r="N5" s="216"/>
      <c r="O5" s="216"/>
    </row>
    <row r="8" spans="1:26" ht="26.25" customHeight="1">
      <c r="A8" s="229" t="s">
        <v>320</v>
      </c>
      <c r="B8" s="229"/>
      <c r="C8" s="229"/>
      <c r="D8" s="229"/>
      <c r="E8" s="229"/>
      <c r="F8" s="229"/>
      <c r="G8" s="229"/>
      <c r="H8" s="229"/>
      <c r="I8" s="229"/>
      <c r="J8" s="229"/>
      <c r="K8" s="229"/>
      <c r="L8" s="229"/>
      <c r="M8" s="229"/>
      <c r="N8" s="229"/>
      <c r="O8" s="229"/>
      <c r="P8" s="229"/>
      <c r="Q8" s="229"/>
      <c r="R8" s="229"/>
      <c r="S8" s="229"/>
      <c r="T8" s="229"/>
      <c r="U8" s="229"/>
      <c r="V8" s="229"/>
      <c r="W8" s="229"/>
      <c r="X8" s="229"/>
      <c r="Y8" s="229"/>
      <c r="Z8" s="229"/>
    </row>
    <row r="9" spans="1:26">
      <c r="A9" s="197"/>
      <c r="B9" s="182"/>
      <c r="C9" s="183" t="s">
        <v>4</v>
      </c>
      <c r="D9" s="198">
        <v>2013</v>
      </c>
      <c r="E9" s="198">
        <v>2014</v>
      </c>
      <c r="F9" s="198">
        <v>2015</v>
      </c>
      <c r="G9" s="198">
        <v>2016</v>
      </c>
      <c r="H9" s="198">
        <v>2017</v>
      </c>
      <c r="I9" s="198">
        <v>2018</v>
      </c>
      <c r="J9" s="198">
        <v>2019</v>
      </c>
      <c r="K9" s="198">
        <v>2020</v>
      </c>
      <c r="L9" s="198">
        <v>2021</v>
      </c>
      <c r="M9" s="198">
        <v>2022</v>
      </c>
      <c r="N9" s="198">
        <v>2023</v>
      </c>
      <c r="O9" s="198">
        <v>2024</v>
      </c>
      <c r="P9" s="198">
        <v>2025</v>
      </c>
      <c r="Q9" s="198">
        <v>2026</v>
      </c>
      <c r="R9" s="198">
        <v>2027</v>
      </c>
      <c r="S9" s="198">
        <v>2028</v>
      </c>
      <c r="T9" s="198">
        <v>2029</v>
      </c>
      <c r="U9" s="198">
        <v>2030</v>
      </c>
      <c r="V9" s="198">
        <v>2031</v>
      </c>
      <c r="W9" s="198">
        <v>2032</v>
      </c>
      <c r="X9" s="225" t="s">
        <v>5</v>
      </c>
      <c r="Y9" s="227" t="s">
        <v>317</v>
      </c>
      <c r="Z9" s="223" t="s">
        <v>238</v>
      </c>
    </row>
    <row r="10" spans="1:26">
      <c r="A10" s="128"/>
      <c r="B10" s="199"/>
      <c r="C10" s="130" t="s">
        <v>321</v>
      </c>
      <c r="D10" s="200">
        <v>1</v>
      </c>
      <c r="E10" s="200">
        <v>2</v>
      </c>
      <c r="F10" s="200">
        <v>3</v>
      </c>
      <c r="G10" s="200">
        <v>4</v>
      </c>
      <c r="H10" s="200">
        <v>5</v>
      </c>
      <c r="I10" s="200">
        <v>6</v>
      </c>
      <c r="J10" s="200">
        <v>7</v>
      </c>
      <c r="K10" s="200">
        <v>8</v>
      </c>
      <c r="L10" s="200">
        <v>9</v>
      </c>
      <c r="M10" s="200">
        <v>10</v>
      </c>
      <c r="N10" s="200">
        <v>11</v>
      </c>
      <c r="O10" s="200">
        <v>12</v>
      </c>
      <c r="P10" s="200">
        <v>13</v>
      </c>
      <c r="Q10" s="200">
        <v>14</v>
      </c>
      <c r="R10" s="200">
        <v>15</v>
      </c>
      <c r="S10" s="200">
        <v>16</v>
      </c>
      <c r="T10" s="200">
        <v>17</v>
      </c>
      <c r="U10" s="200">
        <v>18</v>
      </c>
      <c r="V10" s="200">
        <v>19</v>
      </c>
      <c r="W10" s="200">
        <v>20</v>
      </c>
      <c r="X10" s="226"/>
      <c r="Y10" s="228"/>
      <c r="Z10" s="224"/>
    </row>
    <row r="11" spans="1:26" ht="24" customHeight="1">
      <c r="A11" s="217" t="s">
        <v>243</v>
      </c>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9"/>
    </row>
    <row r="12" spans="1:26">
      <c r="A12" s="1"/>
      <c r="B12" s="1" t="s">
        <v>297</v>
      </c>
      <c r="C12" s="1"/>
      <c r="X12" s="30"/>
      <c r="Z12" s="121"/>
    </row>
    <row r="13" spans="1:26">
      <c r="A13" s="1"/>
      <c r="B13" s="1"/>
      <c r="C13" s="2" t="s">
        <v>6</v>
      </c>
      <c r="X13" s="30"/>
      <c r="Z13" s="121"/>
    </row>
    <row r="14" spans="1:26" s="13" customFormat="1">
      <c r="A14" s="3"/>
      <c r="B14" s="3"/>
      <c r="C14" s="16" t="s">
        <v>281</v>
      </c>
      <c r="D14" s="106">
        <v>0</v>
      </c>
      <c r="E14" s="106">
        <v>0</v>
      </c>
      <c r="F14" s="106">
        <v>0</v>
      </c>
      <c r="G14" s="106">
        <v>0</v>
      </c>
      <c r="H14" s="106">
        <v>0</v>
      </c>
      <c r="I14" s="106">
        <v>0</v>
      </c>
      <c r="J14" s="106">
        <v>0</v>
      </c>
      <c r="K14" s="106">
        <v>0</v>
      </c>
      <c r="L14" s="106">
        <v>0</v>
      </c>
      <c r="M14" s="106">
        <v>0</v>
      </c>
      <c r="N14" s="106">
        <v>0</v>
      </c>
      <c r="O14" s="106">
        <v>0</v>
      </c>
      <c r="P14" s="106">
        <v>0</v>
      </c>
      <c r="Q14" s="106">
        <v>0</v>
      </c>
      <c r="R14" s="106">
        <v>0</v>
      </c>
      <c r="S14" s="106">
        <v>0</v>
      </c>
      <c r="T14" s="106">
        <v>0</v>
      </c>
      <c r="U14" s="106">
        <v>0</v>
      </c>
      <c r="V14" s="106">
        <v>0</v>
      </c>
      <c r="W14" s="106">
        <v>0</v>
      </c>
      <c r="X14" s="189">
        <f>SUM(D14:W14)</f>
        <v>0</v>
      </c>
      <c r="Y14" s="106">
        <f>X14/20</f>
        <v>0</v>
      </c>
      <c r="Z14" s="190">
        <f>NPV(3.5%,D14:W14)</f>
        <v>0</v>
      </c>
    </row>
    <row r="15" spans="1:26">
      <c r="A15" s="1"/>
      <c r="B15" s="1"/>
      <c r="C15" s="188" t="s">
        <v>282</v>
      </c>
      <c r="D15" s="106">
        <v>0</v>
      </c>
      <c r="E15" s="106">
        <v>0</v>
      </c>
      <c r="F15" s="106">
        <v>0</v>
      </c>
      <c r="G15" s="106">
        <v>0</v>
      </c>
      <c r="H15" s="106">
        <v>0</v>
      </c>
      <c r="I15" s="106">
        <v>0</v>
      </c>
      <c r="J15" s="106">
        <v>0</v>
      </c>
      <c r="K15" s="106">
        <v>0</v>
      </c>
      <c r="L15" s="106">
        <v>0</v>
      </c>
      <c r="M15" s="106">
        <v>0</v>
      </c>
      <c r="N15" s="106">
        <v>0</v>
      </c>
      <c r="O15" s="106">
        <v>0</v>
      </c>
      <c r="P15" s="106">
        <v>0</v>
      </c>
      <c r="Q15" s="106">
        <v>0</v>
      </c>
      <c r="R15" s="106">
        <v>0</v>
      </c>
      <c r="S15" s="106">
        <v>0</v>
      </c>
      <c r="T15" s="106">
        <v>0</v>
      </c>
      <c r="U15" s="106">
        <v>0</v>
      </c>
      <c r="V15" s="106">
        <v>0</v>
      </c>
      <c r="W15" s="106">
        <v>0</v>
      </c>
      <c r="X15" s="189">
        <f>SUM(D15:W15)</f>
        <v>0</v>
      </c>
      <c r="Y15" s="106">
        <f>X15/20</f>
        <v>0</v>
      </c>
      <c r="Z15" s="190">
        <f t="shared" ref="Z15:Z34" si="0">NPV(3.5%,D15:W15)</f>
        <v>0</v>
      </c>
    </row>
    <row r="16" spans="1:26">
      <c r="A16" s="1"/>
      <c r="B16" s="1"/>
      <c r="C16" s="16" t="s">
        <v>283</v>
      </c>
      <c r="D16" s="106">
        <v>0</v>
      </c>
      <c r="E16" s="106">
        <v>0</v>
      </c>
      <c r="F16" s="106">
        <v>0</v>
      </c>
      <c r="G16" s="106">
        <v>0</v>
      </c>
      <c r="H16" s="106">
        <v>0</v>
      </c>
      <c r="I16" s="106">
        <v>0</v>
      </c>
      <c r="J16" s="106">
        <v>0</v>
      </c>
      <c r="K16" s="106">
        <v>0</v>
      </c>
      <c r="L16" s="106">
        <v>0</v>
      </c>
      <c r="M16" s="106">
        <v>0</v>
      </c>
      <c r="N16" s="106">
        <v>0</v>
      </c>
      <c r="O16" s="106">
        <v>0</v>
      </c>
      <c r="P16" s="106">
        <v>0</v>
      </c>
      <c r="Q16" s="106">
        <v>0</v>
      </c>
      <c r="R16" s="106">
        <v>0</v>
      </c>
      <c r="S16" s="106">
        <v>0</v>
      </c>
      <c r="T16" s="106">
        <v>0</v>
      </c>
      <c r="U16" s="106">
        <v>0</v>
      </c>
      <c r="V16" s="106">
        <v>0</v>
      </c>
      <c r="W16" s="106">
        <v>0</v>
      </c>
      <c r="X16" s="189">
        <f>SUM(D16:W16)</f>
        <v>0</v>
      </c>
      <c r="Y16" s="106">
        <f>X16/20</f>
        <v>0</v>
      </c>
      <c r="Z16" s="190">
        <f t="shared" si="0"/>
        <v>0</v>
      </c>
    </row>
    <row r="17" spans="1:26" s="13" customFormat="1">
      <c r="A17" s="3"/>
      <c r="B17" s="3"/>
      <c r="C17" s="16" t="s">
        <v>284</v>
      </c>
      <c r="D17" s="106">
        <f>D68</f>
        <v>0.18721057499999999</v>
      </c>
      <c r="E17" s="106">
        <f t="shared" ref="E17:W17" si="1">E68</f>
        <v>0</v>
      </c>
      <c r="F17" s="106">
        <f t="shared" si="1"/>
        <v>0</v>
      </c>
      <c r="G17" s="106">
        <f t="shared" si="1"/>
        <v>0</v>
      </c>
      <c r="H17" s="106">
        <f t="shared" si="1"/>
        <v>0</v>
      </c>
      <c r="I17" s="106">
        <f t="shared" si="1"/>
        <v>0</v>
      </c>
      <c r="J17" s="106">
        <f t="shared" si="1"/>
        <v>0</v>
      </c>
      <c r="K17" s="106">
        <f t="shared" si="1"/>
        <v>0</v>
      </c>
      <c r="L17" s="106">
        <f t="shared" si="1"/>
        <v>0</v>
      </c>
      <c r="M17" s="106">
        <f t="shared" si="1"/>
        <v>0</v>
      </c>
      <c r="N17" s="106">
        <f t="shared" si="1"/>
        <v>0</v>
      </c>
      <c r="O17" s="106">
        <f t="shared" si="1"/>
        <v>0</v>
      </c>
      <c r="P17" s="106">
        <f t="shared" si="1"/>
        <v>0</v>
      </c>
      <c r="Q17" s="106">
        <f t="shared" si="1"/>
        <v>0</v>
      </c>
      <c r="R17" s="106">
        <f t="shared" si="1"/>
        <v>0</v>
      </c>
      <c r="S17" s="106">
        <f t="shared" si="1"/>
        <v>0</v>
      </c>
      <c r="T17" s="106">
        <f t="shared" si="1"/>
        <v>0</v>
      </c>
      <c r="U17" s="106">
        <f t="shared" si="1"/>
        <v>0</v>
      </c>
      <c r="V17" s="106">
        <f t="shared" si="1"/>
        <v>0</v>
      </c>
      <c r="W17" s="106">
        <f t="shared" si="1"/>
        <v>0</v>
      </c>
      <c r="X17" s="189">
        <f>SUM(D17:W17)</f>
        <v>0.18721057499999999</v>
      </c>
      <c r="Y17" s="106">
        <f>X17/20</f>
        <v>9.3605287499999995E-3</v>
      </c>
      <c r="Z17" s="190">
        <f t="shared" si="0"/>
        <v>0.18087978260869567</v>
      </c>
    </row>
    <row r="18" spans="1:26" s="13" customFormat="1">
      <c r="A18" s="3"/>
      <c r="B18" s="3"/>
      <c r="C18" s="16" t="s">
        <v>285</v>
      </c>
      <c r="D18" s="106">
        <f>D69</f>
        <v>0.10304851500000001</v>
      </c>
      <c r="E18" s="106">
        <f t="shared" ref="E18:W18" si="2">E69</f>
        <v>0</v>
      </c>
      <c r="F18" s="106">
        <f t="shared" si="2"/>
        <v>0</v>
      </c>
      <c r="G18" s="106">
        <f t="shared" si="2"/>
        <v>0</v>
      </c>
      <c r="H18" s="106">
        <f t="shared" si="2"/>
        <v>0</v>
      </c>
      <c r="I18" s="106">
        <f t="shared" si="2"/>
        <v>0</v>
      </c>
      <c r="J18" s="106">
        <f t="shared" si="2"/>
        <v>0</v>
      </c>
      <c r="K18" s="106">
        <f t="shared" si="2"/>
        <v>0</v>
      </c>
      <c r="L18" s="106">
        <f t="shared" si="2"/>
        <v>0</v>
      </c>
      <c r="M18" s="106">
        <f t="shared" si="2"/>
        <v>0</v>
      </c>
      <c r="N18" s="106">
        <f t="shared" si="2"/>
        <v>0</v>
      </c>
      <c r="O18" s="106">
        <f t="shared" si="2"/>
        <v>0</v>
      </c>
      <c r="P18" s="106">
        <f t="shared" si="2"/>
        <v>0</v>
      </c>
      <c r="Q18" s="106">
        <f t="shared" si="2"/>
        <v>0</v>
      </c>
      <c r="R18" s="106">
        <f t="shared" si="2"/>
        <v>0</v>
      </c>
      <c r="S18" s="106">
        <f t="shared" si="2"/>
        <v>0</v>
      </c>
      <c r="T18" s="106">
        <f t="shared" si="2"/>
        <v>0</v>
      </c>
      <c r="U18" s="106">
        <f t="shared" si="2"/>
        <v>0</v>
      </c>
      <c r="V18" s="106">
        <f t="shared" si="2"/>
        <v>0</v>
      </c>
      <c r="W18" s="106">
        <f t="shared" si="2"/>
        <v>0</v>
      </c>
      <c r="X18" s="189">
        <f>SUM(D18:W18)</f>
        <v>0.10304851500000001</v>
      </c>
      <c r="Y18" s="106">
        <f>X18/20</f>
        <v>5.15242575E-3</v>
      </c>
      <c r="Z18" s="190">
        <f t="shared" si="0"/>
        <v>9.9563782608695667E-2</v>
      </c>
    </row>
    <row r="19" spans="1:26">
      <c r="A19" s="1"/>
      <c r="B19" s="1"/>
      <c r="C19" s="4" t="s">
        <v>7</v>
      </c>
      <c r="D19" s="193"/>
      <c r="E19" s="193"/>
      <c r="F19" s="193"/>
      <c r="G19" s="193"/>
      <c r="H19" s="193"/>
      <c r="I19" s="193"/>
      <c r="J19" s="193"/>
      <c r="K19" s="193"/>
      <c r="L19" s="193"/>
      <c r="M19" s="193"/>
      <c r="N19" s="193"/>
      <c r="O19" s="193"/>
      <c r="P19" s="193"/>
      <c r="Q19" s="193"/>
      <c r="R19" s="193"/>
      <c r="S19" s="193"/>
      <c r="T19" s="193"/>
      <c r="U19" s="193"/>
      <c r="V19" s="193"/>
      <c r="W19" s="193"/>
      <c r="X19" s="189"/>
      <c r="Y19" s="193"/>
      <c r="Z19" s="121"/>
    </row>
    <row r="20" spans="1:26">
      <c r="A20" s="1"/>
      <c r="B20" s="1"/>
      <c r="C20" s="16" t="s">
        <v>286</v>
      </c>
      <c r="D20" s="193">
        <v>0</v>
      </c>
      <c r="E20" s="193">
        <v>0</v>
      </c>
      <c r="F20" s="193">
        <v>0</v>
      </c>
      <c r="G20" s="193">
        <v>0</v>
      </c>
      <c r="H20" s="193">
        <v>0</v>
      </c>
      <c r="I20" s="193">
        <v>0</v>
      </c>
      <c r="J20" s="193">
        <v>0</v>
      </c>
      <c r="K20" s="193">
        <v>0</v>
      </c>
      <c r="L20" s="193">
        <v>0</v>
      </c>
      <c r="M20" s="193">
        <v>0</v>
      </c>
      <c r="N20" s="193">
        <v>0</v>
      </c>
      <c r="O20" s="193">
        <v>0</v>
      </c>
      <c r="P20" s="193">
        <v>0</v>
      </c>
      <c r="Q20" s="193">
        <v>0</v>
      </c>
      <c r="R20" s="193">
        <v>0</v>
      </c>
      <c r="S20" s="193">
        <v>0</v>
      </c>
      <c r="T20" s="193">
        <v>0</v>
      </c>
      <c r="U20" s="193">
        <v>0</v>
      </c>
      <c r="V20" s="193">
        <v>0</v>
      </c>
      <c r="W20" s="193">
        <v>0</v>
      </c>
      <c r="X20" s="189">
        <f t="shared" ref="X20:X25" si="3">SUM(D20:W20)</f>
        <v>0</v>
      </c>
      <c r="Y20" s="193">
        <f t="shared" ref="Y20:Y29" si="4">X20/20</f>
        <v>0</v>
      </c>
      <c r="Z20" s="190">
        <f t="shared" si="0"/>
        <v>0</v>
      </c>
    </row>
    <row r="21" spans="1:26">
      <c r="A21" s="1"/>
      <c r="B21" s="1"/>
      <c r="C21" s="16" t="s">
        <v>287</v>
      </c>
      <c r="D21" s="193">
        <v>0</v>
      </c>
      <c r="E21" s="193">
        <v>0</v>
      </c>
      <c r="F21" s="193">
        <v>0</v>
      </c>
      <c r="G21" s="193">
        <v>0</v>
      </c>
      <c r="H21" s="193">
        <v>0</v>
      </c>
      <c r="I21" s="193">
        <v>0</v>
      </c>
      <c r="J21" s="193">
        <v>0</v>
      </c>
      <c r="K21" s="193">
        <v>0</v>
      </c>
      <c r="L21" s="193">
        <v>0</v>
      </c>
      <c r="M21" s="193">
        <v>0</v>
      </c>
      <c r="N21" s="193">
        <v>0</v>
      </c>
      <c r="O21" s="193">
        <v>0</v>
      </c>
      <c r="P21" s="193">
        <v>0</v>
      </c>
      <c r="Q21" s="193">
        <v>0</v>
      </c>
      <c r="R21" s="193">
        <v>0</v>
      </c>
      <c r="S21" s="193">
        <v>0</v>
      </c>
      <c r="T21" s="193">
        <v>0</v>
      </c>
      <c r="U21" s="193">
        <v>0</v>
      </c>
      <c r="V21" s="193">
        <v>0</v>
      </c>
      <c r="W21" s="193">
        <v>0</v>
      </c>
      <c r="X21" s="189">
        <f t="shared" si="3"/>
        <v>0</v>
      </c>
      <c r="Y21" s="193">
        <f t="shared" si="4"/>
        <v>0</v>
      </c>
      <c r="Z21" s="190">
        <f t="shared" si="0"/>
        <v>0</v>
      </c>
    </row>
    <row r="22" spans="1:26">
      <c r="A22" s="1"/>
      <c r="B22" s="1"/>
      <c r="C22" s="16" t="s">
        <v>288</v>
      </c>
      <c r="D22" s="193">
        <v>0</v>
      </c>
      <c r="E22" s="193">
        <v>0</v>
      </c>
      <c r="F22" s="193">
        <v>0</v>
      </c>
      <c r="G22" s="193">
        <v>0</v>
      </c>
      <c r="H22" s="193">
        <v>0</v>
      </c>
      <c r="I22" s="193">
        <v>0</v>
      </c>
      <c r="J22" s="193">
        <v>0</v>
      </c>
      <c r="K22" s="193">
        <v>0</v>
      </c>
      <c r="L22" s="193">
        <v>0</v>
      </c>
      <c r="M22" s="193">
        <v>0</v>
      </c>
      <c r="N22" s="193">
        <v>0</v>
      </c>
      <c r="O22" s="193">
        <v>0</v>
      </c>
      <c r="P22" s="193">
        <v>0</v>
      </c>
      <c r="Q22" s="193">
        <v>0</v>
      </c>
      <c r="R22" s="193">
        <v>0</v>
      </c>
      <c r="S22" s="193">
        <v>0</v>
      </c>
      <c r="T22" s="193">
        <v>0</v>
      </c>
      <c r="U22" s="193">
        <v>0</v>
      </c>
      <c r="V22" s="193">
        <v>0</v>
      </c>
      <c r="W22" s="193">
        <v>0</v>
      </c>
      <c r="X22" s="189">
        <f t="shared" si="3"/>
        <v>0</v>
      </c>
      <c r="Y22" s="193">
        <f t="shared" si="4"/>
        <v>0</v>
      </c>
      <c r="Z22" s="190">
        <f t="shared" si="0"/>
        <v>0</v>
      </c>
    </row>
    <row r="23" spans="1:26" s="13" customFormat="1">
      <c r="A23" s="3"/>
      <c r="B23" s="3"/>
      <c r="C23" s="13" t="s">
        <v>289</v>
      </c>
      <c r="D23" s="106">
        <f>D74</f>
        <v>6.8222100000000008E-2</v>
      </c>
      <c r="E23" s="106">
        <f t="shared" ref="E23:W30" si="5">E74</f>
        <v>6.8222100000000008E-2</v>
      </c>
      <c r="F23" s="106">
        <f t="shared" si="5"/>
        <v>6.8222100000000008E-2</v>
      </c>
      <c r="G23" s="106">
        <f t="shared" si="5"/>
        <v>6.8222100000000008E-2</v>
      </c>
      <c r="H23" s="106">
        <f t="shared" si="5"/>
        <v>6.8222100000000008E-2</v>
      </c>
      <c r="I23" s="106">
        <f t="shared" si="5"/>
        <v>6.8222100000000008E-2</v>
      </c>
      <c r="J23" s="106">
        <f t="shared" si="5"/>
        <v>6.8222100000000008E-2</v>
      </c>
      <c r="K23" s="106">
        <f t="shared" si="5"/>
        <v>6.8222100000000008E-2</v>
      </c>
      <c r="L23" s="106">
        <f t="shared" si="5"/>
        <v>6.8222100000000008E-2</v>
      </c>
      <c r="M23" s="106">
        <f t="shared" si="5"/>
        <v>6.8222100000000008E-2</v>
      </c>
      <c r="N23" s="106">
        <f t="shared" si="5"/>
        <v>6.8222100000000008E-2</v>
      </c>
      <c r="O23" s="106">
        <f t="shared" si="5"/>
        <v>6.8222100000000008E-2</v>
      </c>
      <c r="P23" s="106">
        <f t="shared" si="5"/>
        <v>6.8222100000000008E-2</v>
      </c>
      <c r="Q23" s="106">
        <f t="shared" si="5"/>
        <v>6.8222100000000008E-2</v>
      </c>
      <c r="R23" s="106">
        <f t="shared" si="5"/>
        <v>6.8222100000000008E-2</v>
      </c>
      <c r="S23" s="106">
        <f t="shared" si="5"/>
        <v>6.8222100000000008E-2</v>
      </c>
      <c r="T23" s="106">
        <f t="shared" si="5"/>
        <v>6.8222100000000008E-2</v>
      </c>
      <c r="U23" s="106">
        <f t="shared" si="5"/>
        <v>6.8222100000000008E-2</v>
      </c>
      <c r="V23" s="106">
        <f t="shared" si="5"/>
        <v>6.8222100000000008E-2</v>
      </c>
      <c r="W23" s="106">
        <f t="shared" si="5"/>
        <v>6.8222100000000008E-2</v>
      </c>
      <c r="X23" s="189">
        <f t="shared" si="3"/>
        <v>1.3644420000000008</v>
      </c>
      <c r="Y23" s="106">
        <f t="shared" si="4"/>
        <v>6.8222100000000035E-2</v>
      </c>
      <c r="Z23" s="190">
        <f t="shared" si="0"/>
        <v>0.96959999930612029</v>
      </c>
    </row>
    <row r="24" spans="1:26" s="13" customFormat="1">
      <c r="A24" s="3"/>
      <c r="B24" s="3"/>
      <c r="C24" s="16" t="s">
        <v>290</v>
      </c>
      <c r="D24" s="106">
        <f t="shared" ref="D24:S30" si="6">D75</f>
        <v>6.8222100000000008E-2</v>
      </c>
      <c r="E24" s="106">
        <f t="shared" si="6"/>
        <v>6.8222100000000008E-2</v>
      </c>
      <c r="F24" s="106">
        <f t="shared" si="6"/>
        <v>6.8222100000000008E-2</v>
      </c>
      <c r="G24" s="106">
        <f t="shared" si="6"/>
        <v>6.8222100000000008E-2</v>
      </c>
      <c r="H24" s="106">
        <f t="shared" si="6"/>
        <v>6.8222100000000008E-2</v>
      </c>
      <c r="I24" s="106">
        <f t="shared" si="6"/>
        <v>6.8222100000000008E-2</v>
      </c>
      <c r="J24" s="106">
        <f t="shared" si="6"/>
        <v>6.8222100000000008E-2</v>
      </c>
      <c r="K24" s="106">
        <f t="shared" si="6"/>
        <v>6.8222100000000008E-2</v>
      </c>
      <c r="L24" s="106">
        <f t="shared" si="6"/>
        <v>6.8222100000000008E-2</v>
      </c>
      <c r="M24" s="106">
        <f t="shared" si="6"/>
        <v>6.8222100000000008E-2</v>
      </c>
      <c r="N24" s="106">
        <f t="shared" si="6"/>
        <v>6.8222100000000008E-2</v>
      </c>
      <c r="O24" s="106">
        <f t="shared" si="6"/>
        <v>6.8222100000000008E-2</v>
      </c>
      <c r="P24" s="106">
        <f t="shared" si="6"/>
        <v>6.8222100000000008E-2</v>
      </c>
      <c r="Q24" s="106">
        <f t="shared" si="6"/>
        <v>6.8222100000000008E-2</v>
      </c>
      <c r="R24" s="106">
        <f t="shared" si="6"/>
        <v>6.8222100000000008E-2</v>
      </c>
      <c r="S24" s="106">
        <f t="shared" si="6"/>
        <v>6.8222100000000008E-2</v>
      </c>
      <c r="T24" s="106">
        <f t="shared" si="5"/>
        <v>6.8222100000000008E-2</v>
      </c>
      <c r="U24" s="106">
        <f t="shared" si="5"/>
        <v>6.8222100000000008E-2</v>
      </c>
      <c r="V24" s="106">
        <f t="shared" si="5"/>
        <v>6.8222100000000008E-2</v>
      </c>
      <c r="W24" s="106">
        <f t="shared" si="5"/>
        <v>6.8222100000000008E-2</v>
      </c>
      <c r="X24" s="189">
        <f t="shared" si="3"/>
        <v>1.3644420000000008</v>
      </c>
      <c r="Y24" s="106">
        <f t="shared" si="4"/>
        <v>6.8222100000000035E-2</v>
      </c>
      <c r="Z24" s="190">
        <f t="shared" si="0"/>
        <v>0.96959999930612029</v>
      </c>
    </row>
    <row r="25" spans="1:26" s="13" customFormat="1">
      <c r="A25" s="3"/>
      <c r="B25" s="3"/>
      <c r="C25" s="13" t="s">
        <v>291</v>
      </c>
      <c r="D25" s="106">
        <f t="shared" si="6"/>
        <v>0.18329999999999999</v>
      </c>
      <c r="E25" s="106">
        <f t="shared" si="5"/>
        <v>0.18329999999999999</v>
      </c>
      <c r="F25" s="106">
        <f t="shared" si="5"/>
        <v>0.18329999999999999</v>
      </c>
      <c r="G25" s="106">
        <f t="shared" si="5"/>
        <v>0.18329999999999999</v>
      </c>
      <c r="H25" s="106">
        <f t="shared" si="5"/>
        <v>0.18329999999999999</v>
      </c>
      <c r="I25" s="106">
        <f t="shared" si="5"/>
        <v>0.18329999999999999</v>
      </c>
      <c r="J25" s="106">
        <f t="shared" si="5"/>
        <v>0.18329999999999999</v>
      </c>
      <c r="K25" s="106">
        <f t="shared" si="5"/>
        <v>0.18329999999999999</v>
      </c>
      <c r="L25" s="106">
        <f t="shared" si="5"/>
        <v>0.18329999999999999</v>
      </c>
      <c r="M25" s="106">
        <f t="shared" si="5"/>
        <v>0.18329999999999999</v>
      </c>
      <c r="N25" s="106">
        <f t="shared" si="5"/>
        <v>0.18329999999999999</v>
      </c>
      <c r="O25" s="106">
        <f t="shared" si="5"/>
        <v>0.18329999999999999</v>
      </c>
      <c r="P25" s="106">
        <f t="shared" si="5"/>
        <v>0.18329999999999999</v>
      </c>
      <c r="Q25" s="106">
        <f t="shared" si="5"/>
        <v>0.18329999999999999</v>
      </c>
      <c r="R25" s="106">
        <f t="shared" si="5"/>
        <v>0.18329999999999999</v>
      </c>
      <c r="S25" s="106">
        <f t="shared" si="5"/>
        <v>0.18329999999999999</v>
      </c>
      <c r="T25" s="106">
        <f t="shared" si="5"/>
        <v>0.18329999999999999</v>
      </c>
      <c r="U25" s="106">
        <f t="shared" si="5"/>
        <v>0.18329999999999999</v>
      </c>
      <c r="V25" s="106">
        <f t="shared" si="5"/>
        <v>0.18329999999999999</v>
      </c>
      <c r="W25" s="106">
        <f t="shared" si="5"/>
        <v>0.18329999999999999</v>
      </c>
      <c r="X25" s="189">
        <f t="shared" si="3"/>
        <v>3.6659999999999999</v>
      </c>
      <c r="Y25" s="106">
        <f t="shared" si="4"/>
        <v>0.18329999999999999</v>
      </c>
      <c r="Z25" s="190">
        <f t="shared" si="0"/>
        <v>2.6051335252478571</v>
      </c>
    </row>
    <row r="26" spans="1:26" s="13" customFormat="1">
      <c r="A26" s="3"/>
      <c r="B26" s="3"/>
      <c r="C26" s="13" t="s">
        <v>292</v>
      </c>
      <c r="D26" s="106">
        <f t="shared" si="6"/>
        <v>8.2485000000000003E-2</v>
      </c>
      <c r="E26" s="106">
        <f t="shared" si="5"/>
        <v>8.2485000000000003E-2</v>
      </c>
      <c r="F26" s="106">
        <f t="shared" si="5"/>
        <v>8.2485000000000003E-2</v>
      </c>
      <c r="G26" s="106">
        <f t="shared" si="5"/>
        <v>8.2485000000000003E-2</v>
      </c>
      <c r="H26" s="106">
        <f t="shared" si="5"/>
        <v>8.2485000000000003E-2</v>
      </c>
      <c r="I26" s="106">
        <f t="shared" si="5"/>
        <v>8.2485000000000003E-2</v>
      </c>
      <c r="J26" s="106">
        <f t="shared" si="5"/>
        <v>8.2485000000000003E-2</v>
      </c>
      <c r="K26" s="106">
        <f t="shared" si="5"/>
        <v>8.2485000000000003E-2</v>
      </c>
      <c r="L26" s="106">
        <f t="shared" si="5"/>
        <v>8.2485000000000003E-2</v>
      </c>
      <c r="M26" s="106">
        <f t="shared" si="5"/>
        <v>8.2485000000000003E-2</v>
      </c>
      <c r="N26" s="106">
        <f t="shared" si="5"/>
        <v>8.2485000000000003E-2</v>
      </c>
      <c r="O26" s="106">
        <f t="shared" si="5"/>
        <v>8.2485000000000003E-2</v>
      </c>
      <c r="P26" s="106">
        <f t="shared" si="5"/>
        <v>8.2485000000000003E-2</v>
      </c>
      <c r="Q26" s="106">
        <f t="shared" si="5"/>
        <v>8.2485000000000003E-2</v>
      </c>
      <c r="R26" s="106">
        <f t="shared" si="5"/>
        <v>8.2485000000000003E-2</v>
      </c>
      <c r="S26" s="106">
        <f t="shared" si="5"/>
        <v>8.2485000000000003E-2</v>
      </c>
      <c r="T26" s="106">
        <f t="shared" si="5"/>
        <v>8.2485000000000003E-2</v>
      </c>
      <c r="U26" s="106">
        <f t="shared" si="5"/>
        <v>8.2485000000000003E-2</v>
      </c>
      <c r="V26" s="106">
        <f t="shared" si="5"/>
        <v>8.2485000000000003E-2</v>
      </c>
      <c r="W26" s="106">
        <f t="shared" si="5"/>
        <v>8.2485000000000003E-2</v>
      </c>
      <c r="X26" s="189">
        <f t="shared" ref="X26:X29" si="7">SUM(D26:W26)</f>
        <v>1.6496999999999997</v>
      </c>
      <c r="Y26" s="106">
        <f t="shared" si="4"/>
        <v>8.2484999999999989E-2</v>
      </c>
      <c r="Z26" s="190">
        <f t="shared" si="0"/>
        <v>1.1723100863615359</v>
      </c>
    </row>
    <row r="27" spans="1:26" s="13" customFormat="1">
      <c r="A27" s="3"/>
      <c r="B27" s="3"/>
      <c r="C27" s="13" t="s">
        <v>293</v>
      </c>
      <c r="D27" s="106">
        <f t="shared" si="6"/>
        <v>3.7600000000000001E-2</v>
      </c>
      <c r="E27" s="106">
        <f t="shared" si="5"/>
        <v>3.7600000000000001E-2</v>
      </c>
      <c r="F27" s="106">
        <f t="shared" si="5"/>
        <v>3.7600000000000001E-2</v>
      </c>
      <c r="G27" s="106">
        <f t="shared" si="5"/>
        <v>3.7600000000000001E-2</v>
      </c>
      <c r="H27" s="106">
        <f t="shared" si="5"/>
        <v>3.7600000000000001E-2</v>
      </c>
      <c r="I27" s="106">
        <f t="shared" si="5"/>
        <v>3.7600000000000001E-2</v>
      </c>
      <c r="J27" s="106">
        <f t="shared" si="5"/>
        <v>3.7600000000000001E-2</v>
      </c>
      <c r="K27" s="106">
        <f t="shared" si="5"/>
        <v>3.7600000000000001E-2</v>
      </c>
      <c r="L27" s="106">
        <f t="shared" si="5"/>
        <v>3.7600000000000001E-2</v>
      </c>
      <c r="M27" s="106">
        <f t="shared" si="5"/>
        <v>3.7600000000000001E-2</v>
      </c>
      <c r="N27" s="106">
        <f t="shared" si="5"/>
        <v>3.7600000000000001E-2</v>
      </c>
      <c r="O27" s="106">
        <f t="shared" si="5"/>
        <v>3.7600000000000001E-2</v>
      </c>
      <c r="P27" s="106">
        <f t="shared" si="5"/>
        <v>3.7600000000000001E-2</v>
      </c>
      <c r="Q27" s="106">
        <f t="shared" si="5"/>
        <v>3.7600000000000001E-2</v>
      </c>
      <c r="R27" s="106">
        <f t="shared" si="5"/>
        <v>3.7600000000000001E-2</v>
      </c>
      <c r="S27" s="106">
        <f t="shared" si="5"/>
        <v>3.7600000000000001E-2</v>
      </c>
      <c r="T27" s="106">
        <f t="shared" si="5"/>
        <v>3.7600000000000001E-2</v>
      </c>
      <c r="U27" s="106">
        <f t="shared" si="5"/>
        <v>3.7600000000000001E-2</v>
      </c>
      <c r="V27" s="106">
        <f t="shared" si="5"/>
        <v>3.7600000000000001E-2</v>
      </c>
      <c r="W27" s="106">
        <f t="shared" si="5"/>
        <v>3.7600000000000001E-2</v>
      </c>
      <c r="X27" s="189">
        <f t="shared" si="7"/>
        <v>0.75199999999999989</v>
      </c>
      <c r="Y27" s="106">
        <f t="shared" si="4"/>
        <v>3.7599999999999995E-2</v>
      </c>
      <c r="Z27" s="190">
        <f t="shared" si="0"/>
        <v>0.53438636415340646</v>
      </c>
    </row>
    <row r="28" spans="1:26" s="13" customFormat="1">
      <c r="A28" s="3"/>
      <c r="B28" s="3"/>
      <c r="C28" s="13" t="s">
        <v>294</v>
      </c>
      <c r="D28" s="106">
        <f t="shared" si="6"/>
        <v>9.8699999999999996E-2</v>
      </c>
      <c r="E28" s="106">
        <f t="shared" si="5"/>
        <v>9.8699999999999996E-2</v>
      </c>
      <c r="F28" s="106">
        <f t="shared" si="5"/>
        <v>9.8699999999999996E-2</v>
      </c>
      <c r="G28" s="106">
        <f t="shared" si="5"/>
        <v>9.8699999999999996E-2</v>
      </c>
      <c r="H28" s="106">
        <f t="shared" si="5"/>
        <v>9.8699999999999996E-2</v>
      </c>
      <c r="I28" s="106">
        <f t="shared" si="5"/>
        <v>9.8699999999999996E-2</v>
      </c>
      <c r="J28" s="106">
        <f t="shared" si="5"/>
        <v>9.8699999999999996E-2</v>
      </c>
      <c r="K28" s="106">
        <f t="shared" si="5"/>
        <v>9.8699999999999996E-2</v>
      </c>
      <c r="L28" s="106">
        <f t="shared" si="5"/>
        <v>9.8699999999999996E-2</v>
      </c>
      <c r="M28" s="106">
        <f t="shared" si="5"/>
        <v>9.8699999999999996E-2</v>
      </c>
      <c r="N28" s="106">
        <f t="shared" si="5"/>
        <v>9.8699999999999996E-2</v>
      </c>
      <c r="O28" s="106">
        <f t="shared" si="5"/>
        <v>9.8699999999999996E-2</v>
      </c>
      <c r="P28" s="106">
        <f t="shared" si="5"/>
        <v>9.8699999999999996E-2</v>
      </c>
      <c r="Q28" s="106">
        <f t="shared" si="5"/>
        <v>9.8699999999999996E-2</v>
      </c>
      <c r="R28" s="106">
        <f t="shared" si="5"/>
        <v>9.8699999999999996E-2</v>
      </c>
      <c r="S28" s="106">
        <f t="shared" si="5"/>
        <v>9.8699999999999996E-2</v>
      </c>
      <c r="T28" s="106">
        <f t="shared" si="5"/>
        <v>9.8699999999999996E-2</v>
      </c>
      <c r="U28" s="106">
        <f t="shared" si="5"/>
        <v>9.8699999999999996E-2</v>
      </c>
      <c r="V28" s="106">
        <f t="shared" si="5"/>
        <v>9.8699999999999996E-2</v>
      </c>
      <c r="W28" s="106">
        <f t="shared" si="5"/>
        <v>9.8699999999999996E-2</v>
      </c>
      <c r="X28" s="189">
        <f t="shared" si="7"/>
        <v>1.974</v>
      </c>
      <c r="Y28" s="106">
        <f t="shared" si="4"/>
        <v>9.8699999999999996E-2</v>
      </c>
      <c r="Z28" s="190">
        <f t="shared" si="0"/>
        <v>1.4027642059026921</v>
      </c>
    </row>
    <row r="29" spans="1:26" s="13" customFormat="1">
      <c r="A29" s="3"/>
      <c r="B29" s="3"/>
      <c r="C29" s="13" t="s">
        <v>295</v>
      </c>
      <c r="D29" s="106">
        <f t="shared" si="6"/>
        <v>0.16450000000000001</v>
      </c>
      <c r="E29" s="106">
        <f t="shared" si="5"/>
        <v>0.16450000000000001</v>
      </c>
      <c r="F29" s="106">
        <f t="shared" si="5"/>
        <v>0.16450000000000001</v>
      </c>
      <c r="G29" s="106">
        <f t="shared" si="5"/>
        <v>0.16450000000000001</v>
      </c>
      <c r="H29" s="106">
        <f t="shared" si="5"/>
        <v>0.16450000000000001</v>
      </c>
      <c r="I29" s="106">
        <f t="shared" si="5"/>
        <v>0.16450000000000001</v>
      </c>
      <c r="J29" s="106">
        <f t="shared" si="5"/>
        <v>0.16450000000000001</v>
      </c>
      <c r="K29" s="106">
        <f t="shared" si="5"/>
        <v>0.16450000000000001</v>
      </c>
      <c r="L29" s="106">
        <f t="shared" si="5"/>
        <v>0.16450000000000001</v>
      </c>
      <c r="M29" s="106">
        <f t="shared" si="5"/>
        <v>0.16450000000000001</v>
      </c>
      <c r="N29" s="106">
        <f t="shared" si="5"/>
        <v>0.16450000000000001</v>
      </c>
      <c r="O29" s="106">
        <f t="shared" si="5"/>
        <v>0.16450000000000001</v>
      </c>
      <c r="P29" s="106">
        <f t="shared" si="5"/>
        <v>0.16450000000000001</v>
      </c>
      <c r="Q29" s="106">
        <f t="shared" si="5"/>
        <v>0.16450000000000001</v>
      </c>
      <c r="R29" s="106">
        <f t="shared" si="5"/>
        <v>0.16450000000000001</v>
      </c>
      <c r="S29" s="106">
        <f t="shared" si="5"/>
        <v>0.16450000000000001</v>
      </c>
      <c r="T29" s="106">
        <f t="shared" si="5"/>
        <v>0.16450000000000001</v>
      </c>
      <c r="U29" s="106">
        <f t="shared" si="5"/>
        <v>0.16450000000000001</v>
      </c>
      <c r="V29" s="106">
        <f t="shared" si="5"/>
        <v>0.16450000000000001</v>
      </c>
      <c r="W29" s="106">
        <f t="shared" si="5"/>
        <v>0.16450000000000001</v>
      </c>
      <c r="X29" s="189">
        <f t="shared" si="7"/>
        <v>3.2899999999999996</v>
      </c>
      <c r="Y29" s="106">
        <f t="shared" si="4"/>
        <v>0.16449999999999998</v>
      </c>
      <c r="Z29" s="190">
        <f t="shared" si="0"/>
        <v>2.3379403431711534</v>
      </c>
    </row>
    <row r="30" spans="1:26" s="13" customFormat="1">
      <c r="A30" s="3"/>
      <c r="B30" s="3"/>
      <c r="C30" s="13" t="s">
        <v>296</v>
      </c>
      <c r="D30" s="106">
        <f t="shared" si="6"/>
        <v>9.1649999999999995E-2</v>
      </c>
      <c r="E30" s="106">
        <f t="shared" si="5"/>
        <v>9.1649999999999995E-2</v>
      </c>
      <c r="F30" s="106">
        <f t="shared" si="5"/>
        <v>9.1649999999999995E-2</v>
      </c>
      <c r="G30" s="106">
        <f t="shared" si="5"/>
        <v>9.1649999999999995E-2</v>
      </c>
      <c r="H30" s="106">
        <f t="shared" si="5"/>
        <v>9.1649999999999995E-2</v>
      </c>
      <c r="I30" s="106">
        <f t="shared" si="5"/>
        <v>9.1649999999999995E-2</v>
      </c>
      <c r="J30" s="106">
        <f t="shared" si="5"/>
        <v>9.1649999999999995E-2</v>
      </c>
      <c r="K30" s="106">
        <f t="shared" si="5"/>
        <v>9.1649999999999995E-2</v>
      </c>
      <c r="L30" s="106">
        <f t="shared" si="5"/>
        <v>9.1649999999999995E-2</v>
      </c>
      <c r="M30" s="106">
        <f t="shared" si="5"/>
        <v>9.1649999999999995E-2</v>
      </c>
      <c r="N30" s="106">
        <f t="shared" si="5"/>
        <v>9.1649999999999995E-2</v>
      </c>
      <c r="O30" s="106">
        <f t="shared" si="5"/>
        <v>9.1649999999999995E-2</v>
      </c>
      <c r="P30" s="106">
        <f t="shared" si="5"/>
        <v>9.1649999999999995E-2</v>
      </c>
      <c r="Q30" s="106">
        <f t="shared" si="5"/>
        <v>9.1649999999999995E-2</v>
      </c>
      <c r="R30" s="106">
        <f t="shared" si="5"/>
        <v>9.1649999999999995E-2</v>
      </c>
      <c r="S30" s="106">
        <f t="shared" si="5"/>
        <v>9.1649999999999995E-2</v>
      </c>
      <c r="T30" s="106">
        <f t="shared" si="5"/>
        <v>9.1649999999999995E-2</v>
      </c>
      <c r="U30" s="106">
        <f t="shared" si="5"/>
        <v>9.1649999999999995E-2</v>
      </c>
      <c r="V30" s="106">
        <f t="shared" si="5"/>
        <v>9.1649999999999995E-2</v>
      </c>
      <c r="W30" s="106">
        <f t="shared" si="5"/>
        <v>9.1649999999999995E-2</v>
      </c>
      <c r="X30" s="189">
        <f>SUM(D30:W30)</f>
        <v>1.833</v>
      </c>
      <c r="Y30" s="106">
        <f>X30/20</f>
        <v>9.1649999999999995E-2</v>
      </c>
      <c r="Z30" s="190">
        <f t="shared" si="0"/>
        <v>1.3025667626239286</v>
      </c>
    </row>
    <row r="31" spans="1:26">
      <c r="C31" s="43"/>
      <c r="D31" s="106"/>
      <c r="E31" s="106"/>
      <c r="F31" s="106"/>
      <c r="G31" s="106"/>
      <c r="H31" s="106"/>
      <c r="I31" s="106"/>
      <c r="J31" s="106"/>
      <c r="K31" s="106"/>
      <c r="L31" s="106"/>
      <c r="M31" s="106"/>
      <c r="N31" s="106"/>
      <c r="O31" s="106"/>
      <c r="P31" s="106"/>
      <c r="Q31" s="106"/>
      <c r="R31" s="106"/>
      <c r="S31" s="106"/>
      <c r="T31" s="106"/>
      <c r="U31" s="106"/>
      <c r="V31" s="106"/>
      <c r="W31" s="106"/>
      <c r="X31" s="189"/>
      <c r="Y31" s="106"/>
      <c r="Z31" s="121"/>
    </row>
    <row r="32" spans="1:26">
      <c r="A32" s="1"/>
      <c r="B32" s="1"/>
      <c r="C32" s="11" t="s">
        <v>9</v>
      </c>
      <c r="D32" s="106">
        <f>SUM(D14:D18)</f>
        <v>0.29025909</v>
      </c>
      <c r="E32" s="106">
        <f t="shared" ref="E32:W32" si="8">SUM(E14:E18)</f>
        <v>0</v>
      </c>
      <c r="F32" s="106">
        <f t="shared" si="8"/>
        <v>0</v>
      </c>
      <c r="G32" s="106">
        <f t="shared" si="8"/>
        <v>0</v>
      </c>
      <c r="H32" s="106">
        <f t="shared" si="8"/>
        <v>0</v>
      </c>
      <c r="I32" s="106">
        <f t="shared" si="8"/>
        <v>0</v>
      </c>
      <c r="J32" s="106">
        <f t="shared" si="8"/>
        <v>0</v>
      </c>
      <c r="K32" s="106">
        <f t="shared" si="8"/>
        <v>0</v>
      </c>
      <c r="L32" s="106">
        <f t="shared" si="8"/>
        <v>0</v>
      </c>
      <c r="M32" s="106">
        <f t="shared" si="8"/>
        <v>0</v>
      </c>
      <c r="N32" s="106">
        <f t="shared" si="8"/>
        <v>0</v>
      </c>
      <c r="O32" s="106">
        <f t="shared" si="8"/>
        <v>0</v>
      </c>
      <c r="P32" s="106">
        <f t="shared" si="8"/>
        <v>0</v>
      </c>
      <c r="Q32" s="106">
        <f t="shared" si="8"/>
        <v>0</v>
      </c>
      <c r="R32" s="106">
        <f t="shared" si="8"/>
        <v>0</v>
      </c>
      <c r="S32" s="106">
        <f t="shared" si="8"/>
        <v>0</v>
      </c>
      <c r="T32" s="106">
        <f t="shared" si="8"/>
        <v>0</v>
      </c>
      <c r="U32" s="106">
        <f t="shared" si="8"/>
        <v>0</v>
      </c>
      <c r="V32" s="106">
        <f t="shared" si="8"/>
        <v>0</v>
      </c>
      <c r="W32" s="106">
        <f t="shared" si="8"/>
        <v>0</v>
      </c>
      <c r="X32" s="189">
        <f>SUM(D32:W32)</f>
        <v>0.29025909</v>
      </c>
      <c r="Y32" s="106">
        <f>X32/20</f>
        <v>1.45129545E-2</v>
      </c>
      <c r="Z32" s="190">
        <f t="shared" si="0"/>
        <v>0.28044356521739133</v>
      </c>
    </row>
    <row r="33" spans="1:26">
      <c r="C33" s="11" t="s">
        <v>10</v>
      </c>
      <c r="D33" s="193">
        <f>SUM(D20:D30)</f>
        <v>0.79467920000000003</v>
      </c>
      <c r="E33" s="193">
        <f t="shared" ref="E33:W33" si="9">SUM(E20:E30)</f>
        <v>0.79467920000000003</v>
      </c>
      <c r="F33" s="193">
        <f t="shared" si="9"/>
        <v>0.79467920000000003</v>
      </c>
      <c r="G33" s="193">
        <f t="shared" si="9"/>
        <v>0.79467920000000003</v>
      </c>
      <c r="H33" s="193">
        <f t="shared" si="9"/>
        <v>0.79467920000000003</v>
      </c>
      <c r="I33" s="193">
        <f t="shared" si="9"/>
        <v>0.79467920000000003</v>
      </c>
      <c r="J33" s="193">
        <f t="shared" si="9"/>
        <v>0.79467920000000003</v>
      </c>
      <c r="K33" s="193">
        <f t="shared" si="9"/>
        <v>0.79467920000000003</v>
      </c>
      <c r="L33" s="193">
        <f t="shared" si="9"/>
        <v>0.79467920000000003</v>
      </c>
      <c r="M33" s="193">
        <f t="shared" si="9"/>
        <v>0.79467920000000003</v>
      </c>
      <c r="N33" s="193">
        <f t="shared" si="9"/>
        <v>0.79467920000000003</v>
      </c>
      <c r="O33" s="193">
        <f t="shared" si="9"/>
        <v>0.79467920000000003</v>
      </c>
      <c r="P33" s="193">
        <f t="shared" si="9"/>
        <v>0.79467920000000003</v>
      </c>
      <c r="Q33" s="193">
        <f t="shared" si="9"/>
        <v>0.79467920000000003</v>
      </c>
      <c r="R33" s="193">
        <f t="shared" si="9"/>
        <v>0.79467920000000003</v>
      </c>
      <c r="S33" s="193">
        <f t="shared" si="9"/>
        <v>0.79467920000000003</v>
      </c>
      <c r="T33" s="193">
        <f t="shared" si="9"/>
        <v>0.79467920000000003</v>
      </c>
      <c r="U33" s="193">
        <f t="shared" si="9"/>
        <v>0.79467920000000003</v>
      </c>
      <c r="V33" s="193">
        <f t="shared" si="9"/>
        <v>0.79467920000000003</v>
      </c>
      <c r="W33" s="193">
        <f t="shared" si="9"/>
        <v>0.79467920000000003</v>
      </c>
      <c r="X33" s="189">
        <f>SUM(D33:W33)</f>
        <v>15.893584000000008</v>
      </c>
      <c r="Y33" s="193">
        <f>X33/20</f>
        <v>0.79467920000000036</v>
      </c>
      <c r="Z33" s="190">
        <f t="shared" si="0"/>
        <v>11.294301286072814</v>
      </c>
    </row>
    <row r="34" spans="1:26" s="3" customFormat="1">
      <c r="C34" s="3" t="s">
        <v>8</v>
      </c>
      <c r="D34" s="140">
        <f>D33+D32</f>
        <v>1.08493829</v>
      </c>
      <c r="E34" s="140">
        <f t="shared" ref="E34:W34" si="10">E33+E32</f>
        <v>0.79467920000000003</v>
      </c>
      <c r="F34" s="140">
        <f t="shared" si="10"/>
        <v>0.79467920000000003</v>
      </c>
      <c r="G34" s="140">
        <f t="shared" si="10"/>
        <v>0.79467920000000003</v>
      </c>
      <c r="H34" s="140">
        <f t="shared" si="10"/>
        <v>0.79467920000000003</v>
      </c>
      <c r="I34" s="140">
        <f t="shared" si="10"/>
        <v>0.79467920000000003</v>
      </c>
      <c r="J34" s="140">
        <f t="shared" si="10"/>
        <v>0.79467920000000003</v>
      </c>
      <c r="K34" s="140">
        <f t="shared" si="10"/>
        <v>0.79467920000000003</v>
      </c>
      <c r="L34" s="140">
        <f t="shared" si="10"/>
        <v>0.79467920000000003</v>
      </c>
      <c r="M34" s="140">
        <f t="shared" si="10"/>
        <v>0.79467920000000003</v>
      </c>
      <c r="N34" s="140">
        <f t="shared" si="10"/>
        <v>0.79467920000000003</v>
      </c>
      <c r="O34" s="140">
        <f t="shared" si="10"/>
        <v>0.79467920000000003</v>
      </c>
      <c r="P34" s="140">
        <f t="shared" si="10"/>
        <v>0.79467920000000003</v>
      </c>
      <c r="Q34" s="140">
        <f t="shared" si="10"/>
        <v>0.79467920000000003</v>
      </c>
      <c r="R34" s="140">
        <f t="shared" si="10"/>
        <v>0.79467920000000003</v>
      </c>
      <c r="S34" s="140">
        <f t="shared" si="10"/>
        <v>0.79467920000000003</v>
      </c>
      <c r="T34" s="140">
        <f t="shared" si="10"/>
        <v>0.79467920000000003</v>
      </c>
      <c r="U34" s="140">
        <f t="shared" si="10"/>
        <v>0.79467920000000003</v>
      </c>
      <c r="V34" s="140">
        <f t="shared" si="10"/>
        <v>0.79467920000000003</v>
      </c>
      <c r="W34" s="140">
        <f t="shared" si="10"/>
        <v>0.79467920000000003</v>
      </c>
      <c r="X34" s="205">
        <f>SUM(D34:W34)</f>
        <v>16.183843090000011</v>
      </c>
      <c r="Y34" s="140">
        <f>X34/20</f>
        <v>0.80919215450000048</v>
      </c>
      <c r="Z34" s="208">
        <f t="shared" si="0"/>
        <v>11.574744851290205</v>
      </c>
    </row>
    <row r="35" spans="1:26" s="3" customFormat="1">
      <c r="C35" s="3" t="s">
        <v>205</v>
      </c>
      <c r="D35" s="206" t="s">
        <v>11</v>
      </c>
      <c r="E35" s="206" t="s">
        <v>11</v>
      </c>
      <c r="F35" s="206" t="s">
        <v>11</v>
      </c>
      <c r="G35" s="206" t="s">
        <v>11</v>
      </c>
      <c r="H35" s="206" t="s">
        <v>11</v>
      </c>
      <c r="I35" s="206" t="s">
        <v>11</v>
      </c>
      <c r="J35" s="206" t="s">
        <v>11</v>
      </c>
      <c r="K35" s="206" t="s">
        <v>11</v>
      </c>
      <c r="L35" s="206" t="s">
        <v>11</v>
      </c>
      <c r="M35" s="206" t="s">
        <v>11</v>
      </c>
      <c r="N35" s="206" t="s">
        <v>11</v>
      </c>
      <c r="O35" s="206" t="s">
        <v>11</v>
      </c>
      <c r="P35" s="206" t="s">
        <v>11</v>
      </c>
      <c r="Q35" s="206" t="s">
        <v>11</v>
      </c>
      <c r="R35" s="206" t="s">
        <v>11</v>
      </c>
      <c r="S35" s="206" t="s">
        <v>11</v>
      </c>
      <c r="T35" s="206" t="s">
        <v>11</v>
      </c>
      <c r="U35" s="206" t="s">
        <v>11</v>
      </c>
      <c r="V35" s="206" t="s">
        <v>11</v>
      </c>
      <c r="W35" s="206" t="s">
        <v>11</v>
      </c>
      <c r="X35" s="205">
        <f>NPV(3.5%,D34:W34)</f>
        <v>11.574744851290205</v>
      </c>
      <c r="Y35" s="206" t="s">
        <v>11</v>
      </c>
      <c r="Z35" s="207"/>
    </row>
    <row r="36" spans="1:26">
      <c r="A36" s="15"/>
      <c r="B36" s="15"/>
      <c r="C36" s="89"/>
      <c r="D36" s="210"/>
      <c r="E36" s="210"/>
      <c r="F36" s="210"/>
      <c r="G36" s="210"/>
      <c r="H36" s="210"/>
      <c r="I36" s="210"/>
      <c r="J36" s="210"/>
      <c r="K36" s="210"/>
      <c r="L36" s="210"/>
      <c r="M36" s="210"/>
      <c r="N36" s="210"/>
      <c r="O36" s="210"/>
      <c r="P36" s="210"/>
      <c r="Q36" s="210"/>
      <c r="R36" s="210"/>
      <c r="S36" s="210"/>
      <c r="T36" s="210"/>
      <c r="U36" s="210"/>
      <c r="V36" s="210"/>
      <c r="W36" s="210"/>
      <c r="X36" s="211"/>
      <c r="Y36" s="210"/>
      <c r="Z36" s="187"/>
    </row>
    <row r="37" spans="1:26">
      <c r="B37" s="1" t="s">
        <v>302</v>
      </c>
      <c r="C37" s="1"/>
      <c r="X37" s="30"/>
      <c r="Z37" s="121"/>
    </row>
    <row r="38" spans="1:26">
      <c r="B38" s="1"/>
      <c r="C38" s="2" t="s">
        <v>6</v>
      </c>
      <c r="X38" s="30"/>
      <c r="Z38" s="121"/>
    </row>
    <row r="39" spans="1:26" s="13" customFormat="1">
      <c r="B39" s="3"/>
      <c r="C39" s="13" t="s">
        <v>298</v>
      </c>
      <c r="D39" s="106">
        <f>D90</f>
        <v>0.43268324999999996</v>
      </c>
      <c r="E39" s="106">
        <f t="shared" ref="E39:W39" si="11">E90</f>
        <v>0</v>
      </c>
      <c r="F39" s="106">
        <f t="shared" si="11"/>
        <v>0</v>
      </c>
      <c r="G39" s="106">
        <f t="shared" si="11"/>
        <v>0</v>
      </c>
      <c r="H39" s="106">
        <f t="shared" si="11"/>
        <v>0</v>
      </c>
      <c r="I39" s="106">
        <f t="shared" si="11"/>
        <v>0</v>
      </c>
      <c r="J39" s="106">
        <f t="shared" si="11"/>
        <v>0</v>
      </c>
      <c r="K39" s="106">
        <f t="shared" si="11"/>
        <v>0</v>
      </c>
      <c r="L39" s="106">
        <f t="shared" si="11"/>
        <v>0</v>
      </c>
      <c r="M39" s="106">
        <f t="shared" si="11"/>
        <v>0</v>
      </c>
      <c r="N39" s="106">
        <f t="shared" si="11"/>
        <v>0</v>
      </c>
      <c r="O39" s="106">
        <f t="shared" si="11"/>
        <v>0</v>
      </c>
      <c r="P39" s="106">
        <f t="shared" si="11"/>
        <v>0</v>
      </c>
      <c r="Q39" s="106">
        <f t="shared" si="11"/>
        <v>0</v>
      </c>
      <c r="R39" s="106">
        <f t="shared" si="11"/>
        <v>0</v>
      </c>
      <c r="S39" s="106">
        <f t="shared" si="11"/>
        <v>0</v>
      </c>
      <c r="T39" s="106">
        <f t="shared" si="11"/>
        <v>0</v>
      </c>
      <c r="U39" s="106">
        <f t="shared" si="11"/>
        <v>0</v>
      </c>
      <c r="V39" s="106">
        <f t="shared" si="11"/>
        <v>0</v>
      </c>
      <c r="W39" s="106">
        <f t="shared" si="11"/>
        <v>0</v>
      </c>
      <c r="X39" s="189">
        <f>SUM(D39:W39)</f>
        <v>0.43268324999999996</v>
      </c>
      <c r="Y39" s="106">
        <f>X39/20</f>
        <v>2.1634162499999998E-2</v>
      </c>
      <c r="Z39" s="190">
        <f t="shared" ref="Z39" si="12">NPV(3.5%,D39:W39)</f>
        <v>0.41805144927536231</v>
      </c>
    </row>
    <row r="40" spans="1:26">
      <c r="B40" s="1"/>
      <c r="C40" s="4" t="s">
        <v>7</v>
      </c>
      <c r="X40" s="30"/>
      <c r="Z40" s="121"/>
    </row>
    <row r="41" spans="1:26">
      <c r="B41" s="1"/>
      <c r="C41" s="11" t="s">
        <v>299</v>
      </c>
      <c r="D41" s="193">
        <f>D92</f>
        <v>9.018799999999999E-2</v>
      </c>
      <c r="E41" s="193">
        <f t="shared" ref="E41:W41" si="13">E92</f>
        <v>9.018799999999999E-2</v>
      </c>
      <c r="F41" s="193">
        <f t="shared" si="13"/>
        <v>9.018799999999999E-2</v>
      </c>
      <c r="G41" s="193">
        <f t="shared" si="13"/>
        <v>9.018799999999999E-2</v>
      </c>
      <c r="H41" s="193">
        <f t="shared" si="13"/>
        <v>9.018799999999999E-2</v>
      </c>
      <c r="I41" s="193">
        <f t="shared" si="13"/>
        <v>9.018799999999999E-2</v>
      </c>
      <c r="J41" s="193">
        <f t="shared" si="13"/>
        <v>9.018799999999999E-2</v>
      </c>
      <c r="K41" s="193">
        <f t="shared" si="13"/>
        <v>9.018799999999999E-2</v>
      </c>
      <c r="L41" s="193">
        <f t="shared" si="13"/>
        <v>9.018799999999999E-2</v>
      </c>
      <c r="M41" s="193">
        <f t="shared" si="13"/>
        <v>9.018799999999999E-2</v>
      </c>
      <c r="N41" s="193">
        <f t="shared" si="13"/>
        <v>9.018799999999999E-2</v>
      </c>
      <c r="O41" s="193">
        <f t="shared" si="13"/>
        <v>9.018799999999999E-2</v>
      </c>
      <c r="P41" s="193">
        <f t="shared" si="13"/>
        <v>9.018799999999999E-2</v>
      </c>
      <c r="Q41" s="193">
        <f t="shared" si="13"/>
        <v>9.018799999999999E-2</v>
      </c>
      <c r="R41" s="193">
        <f t="shared" si="13"/>
        <v>9.018799999999999E-2</v>
      </c>
      <c r="S41" s="193">
        <f t="shared" si="13"/>
        <v>9.018799999999999E-2</v>
      </c>
      <c r="T41" s="193">
        <f t="shared" si="13"/>
        <v>9.018799999999999E-2</v>
      </c>
      <c r="U41" s="193">
        <f t="shared" si="13"/>
        <v>9.018799999999999E-2</v>
      </c>
      <c r="V41" s="193">
        <f t="shared" si="13"/>
        <v>9.018799999999999E-2</v>
      </c>
      <c r="W41" s="193">
        <f t="shared" si="13"/>
        <v>9.018799999999999E-2</v>
      </c>
      <c r="X41" s="189">
        <f>SUM(D41:W41)</f>
        <v>1.8037599999999991</v>
      </c>
      <c r="Y41" s="106">
        <f t="shared" ref="Y41:Y42" si="14">X41/20</f>
        <v>9.0187999999999963E-2</v>
      </c>
      <c r="Z41" s="190">
        <f t="shared" ref="Z41:Z42" si="15">NPV(3.5%,D41:W41)</f>
        <v>1.2817882289964744</v>
      </c>
    </row>
    <row r="42" spans="1:26" s="13" customFormat="1">
      <c r="C42" s="13" t="s">
        <v>300</v>
      </c>
      <c r="D42" s="106">
        <f>D93</f>
        <v>6.7267516249999992E-2</v>
      </c>
      <c r="E42" s="106">
        <f t="shared" ref="E42:W42" si="16">E93</f>
        <v>6.7267516249999992E-2</v>
      </c>
      <c r="F42" s="106">
        <f t="shared" si="16"/>
        <v>6.7267516249999992E-2</v>
      </c>
      <c r="G42" s="106">
        <f t="shared" si="16"/>
        <v>6.7267516249999992E-2</v>
      </c>
      <c r="H42" s="106">
        <f t="shared" si="16"/>
        <v>6.7267516249999992E-2</v>
      </c>
      <c r="I42" s="106">
        <f t="shared" si="16"/>
        <v>6.7267516249999992E-2</v>
      </c>
      <c r="J42" s="106">
        <f t="shared" si="16"/>
        <v>6.7267516249999992E-2</v>
      </c>
      <c r="K42" s="106">
        <f t="shared" si="16"/>
        <v>6.7267516249999992E-2</v>
      </c>
      <c r="L42" s="106">
        <f t="shared" si="16"/>
        <v>6.7267516249999992E-2</v>
      </c>
      <c r="M42" s="106">
        <f t="shared" si="16"/>
        <v>6.7267516249999992E-2</v>
      </c>
      <c r="N42" s="106">
        <f t="shared" si="16"/>
        <v>6.7267516249999992E-2</v>
      </c>
      <c r="O42" s="106">
        <f t="shared" si="16"/>
        <v>6.7267516249999992E-2</v>
      </c>
      <c r="P42" s="106">
        <f t="shared" si="16"/>
        <v>6.7267516249999992E-2</v>
      </c>
      <c r="Q42" s="106">
        <f t="shared" si="16"/>
        <v>6.7267516249999992E-2</v>
      </c>
      <c r="R42" s="106">
        <f t="shared" si="16"/>
        <v>6.7267516249999992E-2</v>
      </c>
      <c r="S42" s="106">
        <f t="shared" si="16"/>
        <v>6.7267516249999992E-2</v>
      </c>
      <c r="T42" s="106">
        <f t="shared" si="16"/>
        <v>6.7267516249999992E-2</v>
      </c>
      <c r="U42" s="106">
        <f t="shared" si="16"/>
        <v>6.7267516249999992E-2</v>
      </c>
      <c r="V42" s="106">
        <f t="shared" si="16"/>
        <v>6.7267516249999992E-2</v>
      </c>
      <c r="W42" s="106">
        <f t="shared" si="16"/>
        <v>6.7267516249999992E-2</v>
      </c>
      <c r="X42" s="189">
        <f t="shared" ref="X42" si="17">SUM(D42:W42)</f>
        <v>1.3453503250000005</v>
      </c>
      <c r="Y42" s="106">
        <f t="shared" si="14"/>
        <v>6.726751625000002E-2</v>
      </c>
      <c r="Z42" s="190">
        <f t="shared" si="15"/>
        <v>0.95603307006562988</v>
      </c>
    </row>
    <row r="43" spans="1:26">
      <c r="C43" s="2"/>
      <c r="X43" s="30"/>
      <c r="Z43" s="121"/>
    </row>
    <row r="44" spans="1:26">
      <c r="B44" s="1"/>
      <c r="C44" s="11" t="s">
        <v>9</v>
      </c>
      <c r="D44" s="193">
        <f>D39</f>
        <v>0.43268324999999996</v>
      </c>
      <c r="E44" s="193">
        <f t="shared" ref="E44:W44" si="18">E39</f>
        <v>0</v>
      </c>
      <c r="F44" s="193">
        <f t="shared" si="18"/>
        <v>0</v>
      </c>
      <c r="G44" s="193">
        <f t="shared" si="18"/>
        <v>0</v>
      </c>
      <c r="H44" s="193">
        <f t="shared" si="18"/>
        <v>0</v>
      </c>
      <c r="I44" s="193">
        <f t="shared" si="18"/>
        <v>0</v>
      </c>
      <c r="J44" s="193">
        <f t="shared" si="18"/>
        <v>0</v>
      </c>
      <c r="K44" s="193">
        <f t="shared" si="18"/>
        <v>0</v>
      </c>
      <c r="L44" s="193">
        <f t="shared" si="18"/>
        <v>0</v>
      </c>
      <c r="M44" s="193">
        <f t="shared" si="18"/>
        <v>0</v>
      </c>
      <c r="N44" s="193">
        <f t="shared" si="18"/>
        <v>0</v>
      </c>
      <c r="O44" s="193">
        <f t="shared" si="18"/>
        <v>0</v>
      </c>
      <c r="P44" s="193">
        <f t="shared" si="18"/>
        <v>0</v>
      </c>
      <c r="Q44" s="193">
        <f t="shared" si="18"/>
        <v>0</v>
      </c>
      <c r="R44" s="193">
        <f t="shared" si="18"/>
        <v>0</v>
      </c>
      <c r="S44" s="193">
        <f t="shared" si="18"/>
        <v>0</v>
      </c>
      <c r="T44" s="193">
        <f t="shared" si="18"/>
        <v>0</v>
      </c>
      <c r="U44" s="193">
        <f t="shared" si="18"/>
        <v>0</v>
      </c>
      <c r="V44" s="193">
        <f t="shared" si="18"/>
        <v>0</v>
      </c>
      <c r="W44" s="193">
        <f t="shared" si="18"/>
        <v>0</v>
      </c>
      <c r="X44" s="189">
        <f>SUM(D44:W44)</f>
        <v>0.43268324999999996</v>
      </c>
      <c r="Y44" s="106">
        <f>X44/20</f>
        <v>2.1634162499999998E-2</v>
      </c>
      <c r="Z44" s="190">
        <f t="shared" ref="Z44:Z46" si="19">NPV(3.5%,D44:W44)</f>
        <v>0.41805144927536231</v>
      </c>
    </row>
    <row r="45" spans="1:26">
      <c r="C45" s="11" t="s">
        <v>10</v>
      </c>
      <c r="D45" s="193">
        <f>D41+D42</f>
        <v>0.15745551624999998</v>
      </c>
      <c r="E45" s="193">
        <f t="shared" ref="E45:W45" si="20">E41+E42</f>
        <v>0.15745551624999998</v>
      </c>
      <c r="F45" s="193">
        <f t="shared" si="20"/>
        <v>0.15745551624999998</v>
      </c>
      <c r="G45" s="193">
        <f t="shared" si="20"/>
        <v>0.15745551624999998</v>
      </c>
      <c r="H45" s="193">
        <f t="shared" si="20"/>
        <v>0.15745551624999998</v>
      </c>
      <c r="I45" s="193">
        <f t="shared" si="20"/>
        <v>0.15745551624999998</v>
      </c>
      <c r="J45" s="193">
        <f t="shared" si="20"/>
        <v>0.15745551624999998</v>
      </c>
      <c r="K45" s="193">
        <f t="shared" si="20"/>
        <v>0.15745551624999998</v>
      </c>
      <c r="L45" s="193">
        <f t="shared" si="20"/>
        <v>0.15745551624999998</v>
      </c>
      <c r="M45" s="193">
        <f t="shared" si="20"/>
        <v>0.15745551624999998</v>
      </c>
      <c r="N45" s="193">
        <f t="shared" si="20"/>
        <v>0.15745551624999998</v>
      </c>
      <c r="O45" s="193">
        <f t="shared" si="20"/>
        <v>0.15745551624999998</v>
      </c>
      <c r="P45" s="193">
        <f t="shared" si="20"/>
        <v>0.15745551624999998</v>
      </c>
      <c r="Q45" s="193">
        <f t="shared" si="20"/>
        <v>0.15745551624999998</v>
      </c>
      <c r="R45" s="193">
        <f t="shared" si="20"/>
        <v>0.15745551624999998</v>
      </c>
      <c r="S45" s="193">
        <f t="shared" si="20"/>
        <v>0.15745551624999998</v>
      </c>
      <c r="T45" s="193">
        <f t="shared" si="20"/>
        <v>0.15745551624999998</v>
      </c>
      <c r="U45" s="193">
        <f t="shared" si="20"/>
        <v>0.15745551624999998</v>
      </c>
      <c r="V45" s="193">
        <f t="shared" si="20"/>
        <v>0.15745551624999998</v>
      </c>
      <c r="W45" s="193">
        <f t="shared" si="20"/>
        <v>0.15745551624999998</v>
      </c>
      <c r="X45" s="189">
        <f>SUM(D45:W45)</f>
        <v>3.1491103249999979</v>
      </c>
      <c r="Y45" s="193">
        <f>X45/20</f>
        <v>0.1574555162499999</v>
      </c>
      <c r="Z45" s="190">
        <f t="shared" si="19"/>
        <v>2.2378212990621043</v>
      </c>
    </row>
    <row r="46" spans="1:26" s="1" customFormat="1">
      <c r="C46" s="3" t="s">
        <v>8</v>
      </c>
      <c r="D46" s="209">
        <f>D44+D45</f>
        <v>0.59013876624999995</v>
      </c>
      <c r="E46" s="209">
        <f t="shared" ref="E46:W46" si="21">E44+E45</f>
        <v>0.15745551624999998</v>
      </c>
      <c r="F46" s="209">
        <f t="shared" si="21"/>
        <v>0.15745551624999998</v>
      </c>
      <c r="G46" s="209">
        <f t="shared" si="21"/>
        <v>0.15745551624999998</v>
      </c>
      <c r="H46" s="209">
        <f t="shared" si="21"/>
        <v>0.15745551624999998</v>
      </c>
      <c r="I46" s="209">
        <f t="shared" si="21"/>
        <v>0.15745551624999998</v>
      </c>
      <c r="J46" s="209">
        <f t="shared" si="21"/>
        <v>0.15745551624999998</v>
      </c>
      <c r="K46" s="209">
        <f t="shared" si="21"/>
        <v>0.15745551624999998</v>
      </c>
      <c r="L46" s="209">
        <f t="shared" si="21"/>
        <v>0.15745551624999998</v>
      </c>
      <c r="M46" s="209">
        <f t="shared" si="21"/>
        <v>0.15745551624999998</v>
      </c>
      <c r="N46" s="209">
        <f t="shared" si="21"/>
        <v>0.15745551624999998</v>
      </c>
      <c r="O46" s="209">
        <f t="shared" si="21"/>
        <v>0.15745551624999998</v>
      </c>
      <c r="P46" s="209">
        <f t="shared" si="21"/>
        <v>0.15745551624999998</v>
      </c>
      <c r="Q46" s="209">
        <f t="shared" si="21"/>
        <v>0.15745551624999998</v>
      </c>
      <c r="R46" s="209">
        <f t="shared" si="21"/>
        <v>0.15745551624999998</v>
      </c>
      <c r="S46" s="209">
        <f t="shared" si="21"/>
        <v>0.15745551624999998</v>
      </c>
      <c r="T46" s="209">
        <f t="shared" si="21"/>
        <v>0.15745551624999998</v>
      </c>
      <c r="U46" s="209">
        <f t="shared" si="21"/>
        <v>0.15745551624999998</v>
      </c>
      <c r="V46" s="209">
        <f t="shared" si="21"/>
        <v>0.15745551624999998</v>
      </c>
      <c r="W46" s="209">
        <f t="shared" si="21"/>
        <v>0.15745551624999998</v>
      </c>
      <c r="X46" s="205">
        <f>SUM(D46:W46)</f>
        <v>3.5817935749999972</v>
      </c>
      <c r="Y46" s="140">
        <f>X46/20</f>
        <v>0.17908967874999987</v>
      </c>
      <c r="Z46" s="208">
        <f t="shared" si="19"/>
        <v>2.6558727483374671</v>
      </c>
    </row>
    <row r="47" spans="1:26" s="13" customFormat="1">
      <c r="C47" s="3" t="s">
        <v>205</v>
      </c>
      <c r="X47" s="205">
        <f>NPV(3.5%,D46:W46)</f>
        <v>2.6558727483374671</v>
      </c>
      <c r="Y47" s="204" t="s">
        <v>11</v>
      </c>
      <c r="Z47" s="121"/>
    </row>
    <row r="48" spans="1:26" s="13" customFormat="1">
      <c r="A48" s="15"/>
      <c r="B48" s="15"/>
      <c r="C48" s="89"/>
      <c r="D48" s="15"/>
      <c r="E48" s="15"/>
      <c r="F48" s="15"/>
      <c r="G48" s="15"/>
      <c r="H48" s="15"/>
      <c r="I48" s="15"/>
      <c r="J48" s="15"/>
      <c r="K48" s="15"/>
      <c r="L48" s="15"/>
      <c r="M48" s="15"/>
      <c r="N48" s="15"/>
      <c r="O48" s="15"/>
      <c r="P48" s="15"/>
      <c r="Q48" s="15"/>
      <c r="R48" s="15"/>
      <c r="S48" s="15"/>
      <c r="T48" s="15"/>
      <c r="U48" s="15"/>
      <c r="V48" s="15"/>
      <c r="W48" s="15"/>
      <c r="X48" s="211"/>
      <c r="Y48" s="210"/>
      <c r="Z48" s="187"/>
    </row>
    <row r="49" spans="1:26">
      <c r="B49" s="1" t="s">
        <v>301</v>
      </c>
      <c r="X49" s="30"/>
      <c r="Z49" s="121"/>
    </row>
    <row r="50" spans="1:26">
      <c r="C50" s="2" t="s">
        <v>6</v>
      </c>
      <c r="X50" s="30"/>
      <c r="Z50" s="121"/>
    </row>
    <row r="51" spans="1:26" s="13" customFormat="1">
      <c r="C51" s="13" t="s">
        <v>200</v>
      </c>
      <c r="D51" s="106">
        <f>D14+D15+D16+D17+D39</f>
        <v>0.6198938249999999</v>
      </c>
      <c r="E51" s="106">
        <v>0</v>
      </c>
      <c r="F51" s="106">
        <v>0</v>
      </c>
      <c r="G51" s="106">
        <v>0</v>
      </c>
      <c r="H51" s="106">
        <v>0</v>
      </c>
      <c r="I51" s="106">
        <v>0</v>
      </c>
      <c r="J51" s="106">
        <v>0</v>
      </c>
      <c r="K51" s="106">
        <v>0</v>
      </c>
      <c r="L51" s="106">
        <v>0</v>
      </c>
      <c r="M51" s="106">
        <v>0</v>
      </c>
      <c r="N51" s="106">
        <v>0</v>
      </c>
      <c r="O51" s="106">
        <v>0</v>
      </c>
      <c r="P51" s="106">
        <v>0</v>
      </c>
      <c r="Q51" s="106">
        <v>0</v>
      </c>
      <c r="R51" s="106">
        <v>0</v>
      </c>
      <c r="S51" s="106">
        <v>0</v>
      </c>
      <c r="T51" s="106">
        <v>0</v>
      </c>
      <c r="U51" s="106">
        <v>0</v>
      </c>
      <c r="V51" s="106">
        <v>0</v>
      </c>
      <c r="W51" s="106">
        <v>0</v>
      </c>
      <c r="X51" s="189">
        <f>SUM(D51:W51)</f>
        <v>0.6198938249999999</v>
      </c>
      <c r="Y51" s="106">
        <f>X51/20</f>
        <v>3.0994691249999994E-2</v>
      </c>
      <c r="Z51" s="190">
        <f t="shared" ref="Z51" si="22">NPV(3.5%,D51:W51)</f>
        <v>0.59893123188405795</v>
      </c>
    </row>
    <row r="52" spans="1:26">
      <c r="C52" s="4" t="s">
        <v>7</v>
      </c>
      <c r="X52" s="30"/>
      <c r="Z52" s="121"/>
    </row>
    <row r="53" spans="1:26">
      <c r="C53" s="13" t="s">
        <v>201</v>
      </c>
      <c r="D53" s="106">
        <f>D25+D26+D27+D28+D29+D30</f>
        <v>0.65823500000000001</v>
      </c>
      <c r="E53" s="106">
        <f t="shared" ref="E53:W53" si="23">E25+E26+E27+E28+E29+E30</f>
        <v>0.65823500000000001</v>
      </c>
      <c r="F53" s="106">
        <f t="shared" si="23"/>
        <v>0.65823500000000001</v>
      </c>
      <c r="G53" s="106">
        <f t="shared" si="23"/>
        <v>0.65823500000000001</v>
      </c>
      <c r="H53" s="106">
        <f t="shared" si="23"/>
        <v>0.65823500000000001</v>
      </c>
      <c r="I53" s="106">
        <f t="shared" si="23"/>
        <v>0.65823500000000001</v>
      </c>
      <c r="J53" s="106">
        <f t="shared" si="23"/>
        <v>0.65823500000000001</v>
      </c>
      <c r="K53" s="106">
        <f t="shared" si="23"/>
        <v>0.65823500000000001</v>
      </c>
      <c r="L53" s="106">
        <f t="shared" si="23"/>
        <v>0.65823500000000001</v>
      </c>
      <c r="M53" s="106">
        <f t="shared" si="23"/>
        <v>0.65823500000000001</v>
      </c>
      <c r="N53" s="106">
        <f t="shared" si="23"/>
        <v>0.65823500000000001</v>
      </c>
      <c r="O53" s="106">
        <f t="shared" si="23"/>
        <v>0.65823500000000001</v>
      </c>
      <c r="P53" s="106">
        <f t="shared" si="23"/>
        <v>0.65823500000000001</v>
      </c>
      <c r="Q53" s="106">
        <f t="shared" si="23"/>
        <v>0.65823500000000001</v>
      </c>
      <c r="R53" s="106">
        <f t="shared" si="23"/>
        <v>0.65823500000000001</v>
      </c>
      <c r="S53" s="106">
        <f t="shared" si="23"/>
        <v>0.65823500000000001</v>
      </c>
      <c r="T53" s="106">
        <f t="shared" si="23"/>
        <v>0.65823500000000001</v>
      </c>
      <c r="U53" s="106">
        <f t="shared" si="23"/>
        <v>0.65823500000000001</v>
      </c>
      <c r="V53" s="106">
        <f t="shared" si="23"/>
        <v>0.65823500000000001</v>
      </c>
      <c r="W53" s="106">
        <f t="shared" si="23"/>
        <v>0.65823500000000001</v>
      </c>
      <c r="X53" s="189">
        <f>SUM(D53:W53)</f>
        <v>13.164699999999998</v>
      </c>
      <c r="Y53" s="106">
        <f>X53/20</f>
        <v>0.6582349999999999</v>
      </c>
      <c r="Z53" s="190">
        <f t="shared" ref="Z53:Z55" si="24">NPV(3.5%,D53:W53)</f>
        <v>9.3551012874605739</v>
      </c>
    </row>
    <row r="54" spans="1:26">
      <c r="C54" s="13" t="s">
        <v>202</v>
      </c>
      <c r="D54" s="106">
        <f t="shared" ref="D54:W54" si="25">D20+D21+D22+D23+D41</f>
        <v>0.1584101</v>
      </c>
      <c r="E54" s="106">
        <f t="shared" si="25"/>
        <v>0.1584101</v>
      </c>
      <c r="F54" s="106">
        <f t="shared" si="25"/>
        <v>0.1584101</v>
      </c>
      <c r="G54" s="106">
        <f t="shared" si="25"/>
        <v>0.1584101</v>
      </c>
      <c r="H54" s="106">
        <f t="shared" si="25"/>
        <v>0.1584101</v>
      </c>
      <c r="I54" s="106">
        <f t="shared" si="25"/>
        <v>0.1584101</v>
      </c>
      <c r="J54" s="106">
        <f t="shared" si="25"/>
        <v>0.1584101</v>
      </c>
      <c r="K54" s="106">
        <f t="shared" si="25"/>
        <v>0.1584101</v>
      </c>
      <c r="L54" s="106">
        <f t="shared" si="25"/>
        <v>0.1584101</v>
      </c>
      <c r="M54" s="106">
        <f t="shared" si="25"/>
        <v>0.1584101</v>
      </c>
      <c r="N54" s="106">
        <f t="shared" si="25"/>
        <v>0.1584101</v>
      </c>
      <c r="O54" s="106">
        <f t="shared" si="25"/>
        <v>0.1584101</v>
      </c>
      <c r="P54" s="106">
        <f t="shared" si="25"/>
        <v>0.1584101</v>
      </c>
      <c r="Q54" s="106">
        <f t="shared" si="25"/>
        <v>0.1584101</v>
      </c>
      <c r="R54" s="106">
        <f t="shared" si="25"/>
        <v>0.1584101</v>
      </c>
      <c r="S54" s="106">
        <f t="shared" si="25"/>
        <v>0.1584101</v>
      </c>
      <c r="T54" s="106">
        <f t="shared" si="25"/>
        <v>0.1584101</v>
      </c>
      <c r="U54" s="106">
        <f t="shared" si="25"/>
        <v>0.1584101</v>
      </c>
      <c r="V54" s="106">
        <f t="shared" si="25"/>
        <v>0.1584101</v>
      </c>
      <c r="W54" s="106">
        <f t="shared" si="25"/>
        <v>0.1584101</v>
      </c>
      <c r="X54" s="189">
        <f>SUM(D54:W54)</f>
        <v>3.1682020000000017</v>
      </c>
      <c r="Y54" s="106">
        <f t="shared" ref="Y54:Y55" si="26">X54/20</f>
        <v>0.15841010000000008</v>
      </c>
      <c r="Z54" s="190">
        <f t="shared" si="24"/>
        <v>2.2513882283025946</v>
      </c>
    </row>
    <row r="55" spans="1:26" s="13" customFormat="1">
      <c r="C55" s="13" t="s">
        <v>203</v>
      </c>
      <c r="D55" s="106">
        <f>D42</f>
        <v>6.7267516249999992E-2</v>
      </c>
      <c r="E55" s="106">
        <f t="shared" ref="E55:W55" si="27">E42</f>
        <v>6.7267516249999992E-2</v>
      </c>
      <c r="F55" s="106">
        <f t="shared" si="27"/>
        <v>6.7267516249999992E-2</v>
      </c>
      <c r="G55" s="106">
        <f t="shared" si="27"/>
        <v>6.7267516249999992E-2</v>
      </c>
      <c r="H55" s="106">
        <f t="shared" si="27"/>
        <v>6.7267516249999992E-2</v>
      </c>
      <c r="I55" s="106">
        <f t="shared" si="27"/>
        <v>6.7267516249999992E-2</v>
      </c>
      <c r="J55" s="106">
        <f t="shared" si="27"/>
        <v>6.7267516249999992E-2</v>
      </c>
      <c r="K55" s="106">
        <f t="shared" si="27"/>
        <v>6.7267516249999992E-2</v>
      </c>
      <c r="L55" s="106">
        <f t="shared" si="27"/>
        <v>6.7267516249999992E-2</v>
      </c>
      <c r="M55" s="106">
        <f t="shared" si="27"/>
        <v>6.7267516249999992E-2</v>
      </c>
      <c r="N55" s="106">
        <f t="shared" si="27"/>
        <v>6.7267516249999992E-2</v>
      </c>
      <c r="O55" s="106">
        <f t="shared" si="27"/>
        <v>6.7267516249999992E-2</v>
      </c>
      <c r="P55" s="106">
        <f t="shared" si="27"/>
        <v>6.7267516249999992E-2</v>
      </c>
      <c r="Q55" s="106">
        <f t="shared" si="27"/>
        <v>6.7267516249999992E-2</v>
      </c>
      <c r="R55" s="106">
        <f t="shared" si="27"/>
        <v>6.7267516249999992E-2</v>
      </c>
      <c r="S55" s="106">
        <f t="shared" si="27"/>
        <v>6.7267516249999992E-2</v>
      </c>
      <c r="T55" s="106">
        <f t="shared" si="27"/>
        <v>6.7267516249999992E-2</v>
      </c>
      <c r="U55" s="106">
        <f t="shared" si="27"/>
        <v>6.7267516249999992E-2</v>
      </c>
      <c r="V55" s="106">
        <f t="shared" si="27"/>
        <v>6.7267516249999992E-2</v>
      </c>
      <c r="W55" s="106">
        <f t="shared" si="27"/>
        <v>6.7267516249999992E-2</v>
      </c>
      <c r="X55" s="189">
        <f>SUM(D55:W55)</f>
        <v>1.3453503250000005</v>
      </c>
      <c r="Y55" s="106">
        <f t="shared" si="26"/>
        <v>6.726751625000002E-2</v>
      </c>
      <c r="Z55" s="190">
        <f t="shared" si="24"/>
        <v>0.95603307006562988</v>
      </c>
    </row>
    <row r="56" spans="1:26">
      <c r="C56" s="2"/>
      <c r="X56" s="30"/>
      <c r="Z56" s="121"/>
    </row>
    <row r="57" spans="1:26">
      <c r="C57" s="11" t="s">
        <v>9</v>
      </c>
      <c r="D57" s="193">
        <f>D51</f>
        <v>0.6198938249999999</v>
      </c>
      <c r="E57" s="193">
        <f t="shared" ref="E57:W57" si="28">E51</f>
        <v>0</v>
      </c>
      <c r="F57" s="193">
        <f t="shared" si="28"/>
        <v>0</v>
      </c>
      <c r="G57" s="193">
        <f t="shared" si="28"/>
        <v>0</v>
      </c>
      <c r="H57" s="193">
        <f t="shared" si="28"/>
        <v>0</v>
      </c>
      <c r="I57" s="193">
        <f t="shared" si="28"/>
        <v>0</v>
      </c>
      <c r="J57" s="193">
        <f t="shared" si="28"/>
        <v>0</v>
      </c>
      <c r="K57" s="193">
        <f t="shared" si="28"/>
        <v>0</v>
      </c>
      <c r="L57" s="193">
        <f t="shared" si="28"/>
        <v>0</v>
      </c>
      <c r="M57" s="193">
        <f t="shared" si="28"/>
        <v>0</v>
      </c>
      <c r="N57" s="193">
        <f t="shared" si="28"/>
        <v>0</v>
      </c>
      <c r="O57" s="193">
        <f t="shared" si="28"/>
        <v>0</v>
      </c>
      <c r="P57" s="193">
        <f t="shared" si="28"/>
        <v>0</v>
      </c>
      <c r="Q57" s="193">
        <f t="shared" si="28"/>
        <v>0</v>
      </c>
      <c r="R57" s="193">
        <f t="shared" si="28"/>
        <v>0</v>
      </c>
      <c r="S57" s="193">
        <f t="shared" si="28"/>
        <v>0</v>
      </c>
      <c r="T57" s="193">
        <f t="shared" si="28"/>
        <v>0</v>
      </c>
      <c r="U57" s="193">
        <f t="shared" si="28"/>
        <v>0</v>
      </c>
      <c r="V57" s="193">
        <f t="shared" si="28"/>
        <v>0</v>
      </c>
      <c r="W57" s="193">
        <f t="shared" si="28"/>
        <v>0</v>
      </c>
      <c r="X57" s="189">
        <f>SUM(D57:W57)</f>
        <v>0.6198938249999999</v>
      </c>
      <c r="Y57" s="106">
        <f>X57/20</f>
        <v>3.0994691249999994E-2</v>
      </c>
      <c r="Z57" s="190">
        <f t="shared" ref="Z57:Z59" si="29">NPV(3.5%,D57:W57)</f>
        <v>0.59893123188405795</v>
      </c>
    </row>
    <row r="58" spans="1:26">
      <c r="C58" s="11" t="s">
        <v>10</v>
      </c>
      <c r="D58" s="193">
        <f>D54+D53+D55</f>
        <v>0.88391261624999995</v>
      </c>
      <c r="E58" s="193">
        <f t="shared" ref="E58:W58" si="30">E54+E53+E55</f>
        <v>0.88391261624999995</v>
      </c>
      <c r="F58" s="193">
        <f t="shared" si="30"/>
        <v>0.88391261624999995</v>
      </c>
      <c r="G58" s="193">
        <f t="shared" si="30"/>
        <v>0.88391261624999995</v>
      </c>
      <c r="H58" s="193">
        <f t="shared" si="30"/>
        <v>0.88391261624999995</v>
      </c>
      <c r="I58" s="193">
        <f t="shared" si="30"/>
        <v>0.88391261624999995</v>
      </c>
      <c r="J58" s="193">
        <f t="shared" si="30"/>
        <v>0.88391261624999995</v>
      </c>
      <c r="K58" s="193">
        <f t="shared" si="30"/>
        <v>0.88391261624999995</v>
      </c>
      <c r="L58" s="193">
        <f t="shared" si="30"/>
        <v>0.88391261624999995</v>
      </c>
      <c r="M58" s="193">
        <f t="shared" si="30"/>
        <v>0.88391261624999995</v>
      </c>
      <c r="N58" s="193">
        <f t="shared" si="30"/>
        <v>0.88391261624999995</v>
      </c>
      <c r="O58" s="193">
        <f t="shared" si="30"/>
        <v>0.88391261624999995</v>
      </c>
      <c r="P58" s="193">
        <f t="shared" si="30"/>
        <v>0.88391261624999995</v>
      </c>
      <c r="Q58" s="193">
        <f t="shared" si="30"/>
        <v>0.88391261624999995</v>
      </c>
      <c r="R58" s="193">
        <f t="shared" si="30"/>
        <v>0.88391261624999995</v>
      </c>
      <c r="S58" s="193">
        <f t="shared" si="30"/>
        <v>0.88391261624999995</v>
      </c>
      <c r="T58" s="193">
        <f t="shared" si="30"/>
        <v>0.88391261624999995</v>
      </c>
      <c r="U58" s="193">
        <f t="shared" si="30"/>
        <v>0.88391261624999995</v>
      </c>
      <c r="V58" s="193">
        <f t="shared" si="30"/>
        <v>0.88391261624999995</v>
      </c>
      <c r="W58" s="193">
        <f t="shared" si="30"/>
        <v>0.88391261624999995</v>
      </c>
      <c r="X58" s="189">
        <f>SUM(D58:W58)</f>
        <v>17.678252325000006</v>
      </c>
      <c r="Y58" s="193">
        <f>X58/20</f>
        <v>0.88391261625000028</v>
      </c>
      <c r="Z58" s="190">
        <f t="shared" si="29"/>
        <v>12.562522585828797</v>
      </c>
    </row>
    <row r="59" spans="1:26" s="1" customFormat="1" ht="13.5" customHeight="1">
      <c r="C59" s="3" t="s">
        <v>8</v>
      </c>
      <c r="D59" s="209">
        <f>D57+D58</f>
        <v>1.5038064412499998</v>
      </c>
      <c r="E59" s="209">
        <f t="shared" ref="E59:W59" si="31">E57+E58</f>
        <v>0.88391261624999995</v>
      </c>
      <c r="F59" s="209">
        <f t="shared" si="31"/>
        <v>0.88391261624999995</v>
      </c>
      <c r="G59" s="209">
        <f t="shared" si="31"/>
        <v>0.88391261624999995</v>
      </c>
      <c r="H59" s="209">
        <f t="shared" si="31"/>
        <v>0.88391261624999995</v>
      </c>
      <c r="I59" s="209">
        <f t="shared" si="31"/>
        <v>0.88391261624999995</v>
      </c>
      <c r="J59" s="209">
        <f t="shared" si="31"/>
        <v>0.88391261624999995</v>
      </c>
      <c r="K59" s="209">
        <f t="shared" si="31"/>
        <v>0.88391261624999995</v>
      </c>
      <c r="L59" s="209">
        <f t="shared" si="31"/>
        <v>0.88391261624999995</v>
      </c>
      <c r="M59" s="209">
        <f t="shared" si="31"/>
        <v>0.88391261624999995</v>
      </c>
      <c r="N59" s="209">
        <f t="shared" si="31"/>
        <v>0.88391261624999995</v>
      </c>
      <c r="O59" s="209">
        <f t="shared" si="31"/>
        <v>0.88391261624999995</v>
      </c>
      <c r="P59" s="209">
        <f t="shared" si="31"/>
        <v>0.88391261624999995</v>
      </c>
      <c r="Q59" s="209">
        <f t="shared" si="31"/>
        <v>0.88391261624999995</v>
      </c>
      <c r="R59" s="209">
        <f t="shared" si="31"/>
        <v>0.88391261624999995</v>
      </c>
      <c r="S59" s="209">
        <f t="shared" si="31"/>
        <v>0.88391261624999995</v>
      </c>
      <c r="T59" s="209">
        <f t="shared" si="31"/>
        <v>0.88391261624999995</v>
      </c>
      <c r="U59" s="209">
        <f t="shared" si="31"/>
        <v>0.88391261624999995</v>
      </c>
      <c r="V59" s="209">
        <f t="shared" si="31"/>
        <v>0.88391261624999995</v>
      </c>
      <c r="W59" s="209">
        <f t="shared" si="31"/>
        <v>0.88391261624999995</v>
      </c>
      <c r="X59" s="205">
        <f>SUM(D59:W59)</f>
        <v>18.298146150000008</v>
      </c>
      <c r="Y59" s="140">
        <f>X59/20</f>
        <v>0.91490730750000038</v>
      </c>
      <c r="Z59" s="208">
        <f t="shared" si="29"/>
        <v>13.161453817712854</v>
      </c>
    </row>
    <row r="60" spans="1:26" s="3" customFormat="1">
      <c r="C60" s="3" t="s">
        <v>205</v>
      </c>
      <c r="X60" s="205">
        <f>NPV(3.5%,D59:W59)</f>
        <v>13.161453817712854</v>
      </c>
      <c r="Y60" s="206" t="s">
        <v>11</v>
      </c>
      <c r="Z60" s="207"/>
    </row>
    <row r="61" spans="1:26">
      <c r="A61" s="8"/>
      <c r="B61" s="13"/>
      <c r="C61" s="5"/>
      <c r="D61" s="3"/>
      <c r="E61" s="3"/>
      <c r="F61" s="3"/>
      <c r="G61" s="3"/>
      <c r="H61" s="3"/>
      <c r="I61" s="3"/>
      <c r="J61" s="3"/>
      <c r="K61" s="3"/>
      <c r="L61" s="3"/>
      <c r="M61" s="3"/>
      <c r="N61" s="3"/>
      <c r="O61" s="3"/>
      <c r="P61" s="3"/>
      <c r="Q61" s="3"/>
      <c r="R61" s="3"/>
      <c r="S61" s="3"/>
      <c r="T61" s="3"/>
      <c r="U61" s="3"/>
      <c r="V61" s="3"/>
      <c r="W61" s="3"/>
      <c r="X61" s="203"/>
      <c r="Y61" s="202"/>
      <c r="Z61" s="121"/>
    </row>
    <row r="62" spans="1:26" s="13" customFormat="1" ht="24.75" customHeight="1">
      <c r="A62" s="220" t="s">
        <v>242</v>
      </c>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2"/>
    </row>
    <row r="63" spans="1:26" s="13" customFormat="1">
      <c r="A63" s="3"/>
      <c r="B63" s="3" t="s">
        <v>256</v>
      </c>
      <c r="C63" s="3"/>
      <c r="X63" s="30"/>
      <c r="Z63" s="121"/>
    </row>
    <row r="64" spans="1:26">
      <c r="A64" s="1"/>
      <c r="B64" s="1"/>
      <c r="C64" s="2" t="s">
        <v>6</v>
      </c>
      <c r="X64" s="30"/>
      <c r="Z64" s="121"/>
    </row>
    <row r="65" spans="1:26" s="13" customFormat="1">
      <c r="A65" s="3"/>
      <c r="B65" s="3"/>
      <c r="C65" s="16" t="s">
        <v>281</v>
      </c>
      <c r="D65" s="106">
        <f>'rMCZ 19 Norris to Ryde'!B33</f>
        <v>0.80034749999999999</v>
      </c>
      <c r="E65" s="106">
        <v>0</v>
      </c>
      <c r="F65" s="106">
        <v>0</v>
      </c>
      <c r="G65" s="106">
        <v>0</v>
      </c>
      <c r="H65" s="106">
        <v>0</v>
      </c>
      <c r="I65" s="106">
        <v>0</v>
      </c>
      <c r="J65" s="106">
        <v>0</v>
      </c>
      <c r="K65" s="106">
        <v>0</v>
      </c>
      <c r="L65" s="106">
        <v>0</v>
      </c>
      <c r="M65" s="106">
        <v>0</v>
      </c>
      <c r="N65" s="106">
        <v>0</v>
      </c>
      <c r="O65" s="106">
        <v>0</v>
      </c>
      <c r="P65" s="106">
        <v>0</v>
      </c>
      <c r="Q65" s="106">
        <v>0</v>
      </c>
      <c r="R65" s="106">
        <v>0</v>
      </c>
      <c r="S65" s="106">
        <v>0</v>
      </c>
      <c r="T65" s="106">
        <v>0</v>
      </c>
      <c r="U65" s="106">
        <v>0</v>
      </c>
      <c r="V65" s="106">
        <v>0</v>
      </c>
      <c r="W65" s="106">
        <v>0</v>
      </c>
      <c r="X65" s="189">
        <f>SUM(D65:W65)</f>
        <v>0.80034749999999999</v>
      </c>
      <c r="Y65" s="106">
        <f>X65/20</f>
        <v>4.0017375000000001E-2</v>
      </c>
      <c r="Z65" s="190">
        <f t="shared" ref="Z65:Z69" si="32">NPV(3.5%,D65:W65)</f>
        <v>0.77328260869565224</v>
      </c>
    </row>
    <row r="66" spans="1:26">
      <c r="A66" s="1"/>
      <c r="B66" s="1"/>
      <c r="C66" s="188" t="s">
        <v>282</v>
      </c>
      <c r="D66" s="195">
        <f>'rMCZ 22 Bembridge'!D32</f>
        <v>1.13403375</v>
      </c>
      <c r="E66" s="106">
        <v>0</v>
      </c>
      <c r="F66" s="106">
        <v>0</v>
      </c>
      <c r="G66" s="106">
        <v>0</v>
      </c>
      <c r="H66" s="106">
        <v>0</v>
      </c>
      <c r="I66" s="106">
        <v>0</v>
      </c>
      <c r="J66" s="106">
        <v>0</v>
      </c>
      <c r="K66" s="106">
        <v>0</v>
      </c>
      <c r="L66" s="106">
        <v>0</v>
      </c>
      <c r="M66" s="106">
        <v>0</v>
      </c>
      <c r="N66" s="106">
        <v>0</v>
      </c>
      <c r="O66" s="106">
        <v>0</v>
      </c>
      <c r="P66" s="106">
        <v>0</v>
      </c>
      <c r="Q66" s="106">
        <v>0</v>
      </c>
      <c r="R66" s="106">
        <v>0</v>
      </c>
      <c r="S66" s="106">
        <v>0</v>
      </c>
      <c r="T66" s="106">
        <v>0</v>
      </c>
      <c r="U66" s="106">
        <v>0</v>
      </c>
      <c r="V66" s="106">
        <v>0</v>
      </c>
      <c r="W66" s="106">
        <v>0</v>
      </c>
      <c r="X66" s="189">
        <f>SUM(D66:W66)</f>
        <v>1.13403375</v>
      </c>
      <c r="Y66" s="106">
        <f>X66/20</f>
        <v>5.67016875E-2</v>
      </c>
      <c r="Z66" s="190">
        <f t="shared" si="32"/>
        <v>1.0956847826086957</v>
      </c>
    </row>
    <row r="67" spans="1:26">
      <c r="A67" s="1"/>
      <c r="B67" s="1"/>
      <c r="C67" s="16" t="s">
        <v>283</v>
      </c>
      <c r="D67" s="106">
        <f>'rMCZ 23 Yarmouth to Cowes'!D33</f>
        <v>0.43268324999999996</v>
      </c>
      <c r="E67" s="106">
        <v>0</v>
      </c>
      <c r="F67" s="106">
        <v>0</v>
      </c>
      <c r="G67" s="106">
        <v>0</v>
      </c>
      <c r="H67" s="106">
        <v>0</v>
      </c>
      <c r="I67" s="106">
        <v>0</v>
      </c>
      <c r="J67" s="106">
        <v>0</v>
      </c>
      <c r="K67" s="106">
        <v>0</v>
      </c>
      <c r="L67" s="106">
        <v>0</v>
      </c>
      <c r="M67" s="106">
        <v>0</v>
      </c>
      <c r="N67" s="106">
        <v>0</v>
      </c>
      <c r="O67" s="106">
        <v>0</v>
      </c>
      <c r="P67" s="106">
        <v>0</v>
      </c>
      <c r="Q67" s="106">
        <v>0</v>
      </c>
      <c r="R67" s="106">
        <v>0</v>
      </c>
      <c r="S67" s="106">
        <v>0</v>
      </c>
      <c r="T67" s="106">
        <v>0</v>
      </c>
      <c r="U67" s="106">
        <v>0</v>
      </c>
      <c r="V67" s="106">
        <v>0</v>
      </c>
      <c r="W67" s="106">
        <v>0</v>
      </c>
      <c r="X67" s="189">
        <f>SUM(D67:W67)</f>
        <v>0.43268324999999996</v>
      </c>
      <c r="Y67" s="106">
        <f>X67/20</f>
        <v>2.1634162499999998E-2</v>
      </c>
      <c r="Z67" s="190">
        <f t="shared" si="32"/>
        <v>0.41805144927536231</v>
      </c>
    </row>
    <row r="68" spans="1:26" s="13" customFormat="1">
      <c r="A68" s="3"/>
      <c r="B68" s="3"/>
      <c r="C68" s="16" t="s">
        <v>284</v>
      </c>
      <c r="D68" s="106">
        <f>'rMCZ RA 3 Holehaven Creek'!D33</f>
        <v>0.18721057499999999</v>
      </c>
      <c r="E68" s="106">
        <v>0</v>
      </c>
      <c r="F68" s="106">
        <v>0</v>
      </c>
      <c r="G68" s="106">
        <v>0</v>
      </c>
      <c r="H68" s="106">
        <v>0</v>
      </c>
      <c r="I68" s="106">
        <v>0</v>
      </c>
      <c r="J68" s="106">
        <v>0</v>
      </c>
      <c r="K68" s="106">
        <v>0</v>
      </c>
      <c r="L68" s="106">
        <v>0</v>
      </c>
      <c r="M68" s="106">
        <v>0</v>
      </c>
      <c r="N68" s="106">
        <v>0</v>
      </c>
      <c r="O68" s="106">
        <v>0</v>
      </c>
      <c r="P68" s="106">
        <v>0</v>
      </c>
      <c r="Q68" s="106">
        <v>0</v>
      </c>
      <c r="R68" s="106">
        <v>0</v>
      </c>
      <c r="S68" s="106">
        <v>0</v>
      </c>
      <c r="T68" s="106">
        <v>0</v>
      </c>
      <c r="U68" s="106">
        <v>0</v>
      </c>
      <c r="V68" s="106">
        <v>0</v>
      </c>
      <c r="W68" s="106">
        <v>0</v>
      </c>
      <c r="X68" s="189">
        <f>SUM(D68:W68)</f>
        <v>0.18721057499999999</v>
      </c>
      <c r="Y68" s="106">
        <f>X68/20</f>
        <v>9.3605287499999995E-3</v>
      </c>
      <c r="Z68" s="190">
        <f t="shared" si="32"/>
        <v>0.18087978260869567</v>
      </c>
    </row>
    <row r="69" spans="1:26" s="13" customFormat="1">
      <c r="A69" s="3"/>
      <c r="B69" s="3"/>
      <c r="C69" s="16" t="s">
        <v>285</v>
      </c>
      <c r="D69" s="106">
        <f>'rMCZ RA24 Harwich Haven'!D33</f>
        <v>0.10304851500000001</v>
      </c>
      <c r="E69" s="106">
        <v>0</v>
      </c>
      <c r="F69" s="106">
        <v>0</v>
      </c>
      <c r="G69" s="106">
        <v>0</v>
      </c>
      <c r="H69" s="106">
        <v>0</v>
      </c>
      <c r="I69" s="106">
        <v>0</v>
      </c>
      <c r="J69" s="106">
        <v>0</v>
      </c>
      <c r="K69" s="106">
        <v>0</v>
      </c>
      <c r="L69" s="106">
        <v>0</v>
      </c>
      <c r="M69" s="106">
        <v>0</v>
      </c>
      <c r="N69" s="106">
        <v>0</v>
      </c>
      <c r="O69" s="106">
        <v>0</v>
      </c>
      <c r="P69" s="106">
        <v>0</v>
      </c>
      <c r="Q69" s="106">
        <v>0</v>
      </c>
      <c r="R69" s="106">
        <v>0</v>
      </c>
      <c r="S69" s="106">
        <v>0</v>
      </c>
      <c r="T69" s="106">
        <v>0</v>
      </c>
      <c r="U69" s="106">
        <v>0</v>
      </c>
      <c r="V69" s="106">
        <v>0</v>
      </c>
      <c r="W69" s="106">
        <v>0</v>
      </c>
      <c r="X69" s="189">
        <f>SUM(D69:W69)</f>
        <v>0.10304851500000001</v>
      </c>
      <c r="Y69" s="106">
        <f>X69/20</f>
        <v>5.15242575E-3</v>
      </c>
      <c r="Z69" s="190">
        <f t="shared" si="32"/>
        <v>9.9563782608695667E-2</v>
      </c>
    </row>
    <row r="70" spans="1:26" s="13" customFormat="1">
      <c r="A70" s="3"/>
      <c r="B70" s="3"/>
      <c r="C70" s="212" t="s">
        <v>7</v>
      </c>
      <c r="D70" s="106"/>
      <c r="E70" s="106"/>
      <c r="F70" s="106"/>
      <c r="G70" s="106"/>
      <c r="H70" s="106"/>
      <c r="I70" s="106"/>
      <c r="J70" s="106"/>
      <c r="K70" s="106"/>
      <c r="L70" s="106"/>
      <c r="M70" s="106"/>
      <c r="N70" s="106"/>
      <c r="O70" s="106"/>
      <c r="P70" s="106"/>
      <c r="Q70" s="106"/>
      <c r="R70" s="106"/>
      <c r="S70" s="106"/>
      <c r="T70" s="106"/>
      <c r="U70" s="106"/>
      <c r="V70" s="106"/>
      <c r="W70" s="106"/>
      <c r="X70" s="189"/>
      <c r="Y70" s="106"/>
      <c r="Z70" s="121"/>
    </row>
    <row r="71" spans="1:26" s="13" customFormat="1">
      <c r="A71" s="3"/>
      <c r="B71" s="3"/>
      <c r="C71" s="16" t="s">
        <v>286</v>
      </c>
      <c r="D71" s="106">
        <f>'rMCZ 19 Norris to Ryde'!$B10</f>
        <v>0.18037599999999998</v>
      </c>
      <c r="E71" s="106">
        <f>'rMCZ 19 Norris to Ryde'!$B10</f>
        <v>0.18037599999999998</v>
      </c>
      <c r="F71" s="106">
        <f>'rMCZ 19 Norris to Ryde'!$B10</f>
        <v>0.18037599999999998</v>
      </c>
      <c r="G71" s="106">
        <f>'rMCZ 19 Norris to Ryde'!$B10</f>
        <v>0.18037599999999998</v>
      </c>
      <c r="H71" s="106">
        <f>'rMCZ 19 Norris to Ryde'!$B10</f>
        <v>0.18037599999999998</v>
      </c>
      <c r="I71" s="106">
        <f>'rMCZ 19 Norris to Ryde'!$B10</f>
        <v>0.18037599999999998</v>
      </c>
      <c r="J71" s="106">
        <f>'rMCZ 19 Norris to Ryde'!$B10</f>
        <v>0.18037599999999998</v>
      </c>
      <c r="K71" s="106">
        <f>'rMCZ 19 Norris to Ryde'!$B10</f>
        <v>0.18037599999999998</v>
      </c>
      <c r="L71" s="106">
        <f>'rMCZ 19 Norris to Ryde'!$B10</f>
        <v>0.18037599999999998</v>
      </c>
      <c r="M71" s="106">
        <f>'rMCZ 19 Norris to Ryde'!$B10</f>
        <v>0.18037599999999998</v>
      </c>
      <c r="N71" s="106">
        <f>'rMCZ 19 Norris to Ryde'!$B10</f>
        <v>0.18037599999999998</v>
      </c>
      <c r="O71" s="106">
        <f>'rMCZ 19 Norris to Ryde'!$B10</f>
        <v>0.18037599999999998</v>
      </c>
      <c r="P71" s="106">
        <f>'rMCZ 19 Norris to Ryde'!$B10</f>
        <v>0.18037599999999998</v>
      </c>
      <c r="Q71" s="106">
        <f>'rMCZ 19 Norris to Ryde'!$B10</f>
        <v>0.18037599999999998</v>
      </c>
      <c r="R71" s="106">
        <f>'rMCZ 19 Norris to Ryde'!$B10</f>
        <v>0.18037599999999998</v>
      </c>
      <c r="S71" s="106">
        <f>'rMCZ 19 Norris to Ryde'!$B10</f>
        <v>0.18037599999999998</v>
      </c>
      <c r="T71" s="106">
        <f>'rMCZ 19 Norris to Ryde'!$B10</f>
        <v>0.18037599999999998</v>
      </c>
      <c r="U71" s="106">
        <f>'rMCZ 19 Norris to Ryde'!$B10</f>
        <v>0.18037599999999998</v>
      </c>
      <c r="V71" s="106">
        <f>'rMCZ 19 Norris to Ryde'!$B10</f>
        <v>0.18037599999999998</v>
      </c>
      <c r="W71" s="106">
        <f>'rMCZ 19 Norris to Ryde'!$B10</f>
        <v>0.18037599999999998</v>
      </c>
      <c r="X71" s="189">
        <f t="shared" ref="X71:X76" si="33">SUM(D71:W71)</f>
        <v>3.6075199999999983</v>
      </c>
      <c r="Y71" s="106">
        <f t="shared" ref="Y71:Y76" si="34">X71/20</f>
        <v>0.18037599999999993</v>
      </c>
      <c r="Z71" s="190">
        <f t="shared" ref="Z71:Z81" si="35">NPV(3.5%,D71:W71)</f>
        <v>2.5635764579929488</v>
      </c>
    </row>
    <row r="72" spans="1:26" s="13" customFormat="1">
      <c r="A72" s="3"/>
      <c r="B72" s="3"/>
      <c r="C72" s="16" t="s">
        <v>287</v>
      </c>
      <c r="D72" s="106">
        <f>'rMCZ 22 Bembridge'!$B9</f>
        <v>0.27100000000000002</v>
      </c>
      <c r="E72" s="106">
        <f>'rMCZ 22 Bembridge'!$B9</f>
        <v>0.27100000000000002</v>
      </c>
      <c r="F72" s="106">
        <f>'rMCZ 22 Bembridge'!$B9</f>
        <v>0.27100000000000002</v>
      </c>
      <c r="G72" s="106">
        <f>'rMCZ 22 Bembridge'!$B9</f>
        <v>0.27100000000000002</v>
      </c>
      <c r="H72" s="106">
        <f>'rMCZ 22 Bembridge'!$B9</f>
        <v>0.27100000000000002</v>
      </c>
      <c r="I72" s="106">
        <f>'rMCZ 22 Bembridge'!$B9</f>
        <v>0.27100000000000002</v>
      </c>
      <c r="J72" s="106">
        <f>'rMCZ 22 Bembridge'!$B9</f>
        <v>0.27100000000000002</v>
      </c>
      <c r="K72" s="106">
        <f>'rMCZ 22 Bembridge'!$B9</f>
        <v>0.27100000000000002</v>
      </c>
      <c r="L72" s="106">
        <f>'rMCZ 22 Bembridge'!$B9</f>
        <v>0.27100000000000002</v>
      </c>
      <c r="M72" s="106">
        <f>'rMCZ 22 Bembridge'!$B9</f>
        <v>0.27100000000000002</v>
      </c>
      <c r="N72" s="106">
        <f>'rMCZ 22 Bembridge'!$B9</f>
        <v>0.27100000000000002</v>
      </c>
      <c r="O72" s="106">
        <f>'rMCZ 22 Bembridge'!$B9</f>
        <v>0.27100000000000002</v>
      </c>
      <c r="P72" s="106">
        <f>'rMCZ 22 Bembridge'!$B9</f>
        <v>0.27100000000000002</v>
      </c>
      <c r="Q72" s="106">
        <f>'rMCZ 22 Bembridge'!$B9</f>
        <v>0.27100000000000002</v>
      </c>
      <c r="R72" s="106">
        <f>'rMCZ 22 Bembridge'!$B9</f>
        <v>0.27100000000000002</v>
      </c>
      <c r="S72" s="106">
        <f>'rMCZ 22 Bembridge'!$B9</f>
        <v>0.27100000000000002</v>
      </c>
      <c r="T72" s="106">
        <f>'rMCZ 22 Bembridge'!$B9</f>
        <v>0.27100000000000002</v>
      </c>
      <c r="U72" s="106">
        <f>'rMCZ 22 Bembridge'!$B9</f>
        <v>0.27100000000000002</v>
      </c>
      <c r="V72" s="106">
        <f>'rMCZ 22 Bembridge'!$B9</f>
        <v>0.27100000000000002</v>
      </c>
      <c r="W72" s="106">
        <f>'rMCZ 22 Bembridge'!$B9</f>
        <v>0.27100000000000002</v>
      </c>
      <c r="X72" s="189">
        <f t="shared" si="33"/>
        <v>5.419999999999999</v>
      </c>
      <c r="Y72" s="106">
        <f t="shared" si="34"/>
        <v>0.27099999999999996</v>
      </c>
      <c r="Z72" s="190">
        <f t="shared" si="35"/>
        <v>3.8515612948290729</v>
      </c>
    </row>
    <row r="73" spans="1:26" s="13" customFormat="1">
      <c r="A73" s="3"/>
      <c r="B73" s="3"/>
      <c r="C73" s="16" t="s">
        <v>288</v>
      </c>
      <c r="D73" s="106">
        <f>'rMCZ 23 Yarmouth to Cowes'!$B10</f>
        <v>9.018799999999999E-2</v>
      </c>
      <c r="E73" s="106">
        <f>'rMCZ 23 Yarmouth to Cowes'!$B10</f>
        <v>9.018799999999999E-2</v>
      </c>
      <c r="F73" s="106">
        <f>'rMCZ 23 Yarmouth to Cowes'!$B10</f>
        <v>9.018799999999999E-2</v>
      </c>
      <c r="G73" s="106">
        <f>'rMCZ 23 Yarmouth to Cowes'!$B10</f>
        <v>9.018799999999999E-2</v>
      </c>
      <c r="H73" s="106">
        <f>'rMCZ 23 Yarmouth to Cowes'!$B10</f>
        <v>9.018799999999999E-2</v>
      </c>
      <c r="I73" s="106">
        <f>'rMCZ 23 Yarmouth to Cowes'!$B10</f>
        <v>9.018799999999999E-2</v>
      </c>
      <c r="J73" s="106">
        <f>'rMCZ 23 Yarmouth to Cowes'!$B10</f>
        <v>9.018799999999999E-2</v>
      </c>
      <c r="K73" s="106">
        <f>'rMCZ 23 Yarmouth to Cowes'!$B10</f>
        <v>9.018799999999999E-2</v>
      </c>
      <c r="L73" s="106">
        <f>'rMCZ 23 Yarmouth to Cowes'!$B10</f>
        <v>9.018799999999999E-2</v>
      </c>
      <c r="M73" s="106">
        <f>'rMCZ 23 Yarmouth to Cowes'!$B10</f>
        <v>9.018799999999999E-2</v>
      </c>
      <c r="N73" s="106">
        <f>'rMCZ 23 Yarmouth to Cowes'!$B10</f>
        <v>9.018799999999999E-2</v>
      </c>
      <c r="O73" s="106">
        <f>'rMCZ 23 Yarmouth to Cowes'!$B10</f>
        <v>9.018799999999999E-2</v>
      </c>
      <c r="P73" s="106">
        <f>'rMCZ 23 Yarmouth to Cowes'!$B10</f>
        <v>9.018799999999999E-2</v>
      </c>
      <c r="Q73" s="106">
        <f>'rMCZ 23 Yarmouth to Cowes'!$B10</f>
        <v>9.018799999999999E-2</v>
      </c>
      <c r="R73" s="106">
        <f>'rMCZ 23 Yarmouth to Cowes'!$B10</f>
        <v>9.018799999999999E-2</v>
      </c>
      <c r="S73" s="106">
        <f>'rMCZ 23 Yarmouth to Cowes'!$B10</f>
        <v>9.018799999999999E-2</v>
      </c>
      <c r="T73" s="106">
        <f>'rMCZ 23 Yarmouth to Cowes'!$B10</f>
        <v>9.018799999999999E-2</v>
      </c>
      <c r="U73" s="106">
        <f>'rMCZ 23 Yarmouth to Cowes'!$B10</f>
        <v>9.018799999999999E-2</v>
      </c>
      <c r="V73" s="106">
        <f>'rMCZ 23 Yarmouth to Cowes'!$B10</f>
        <v>9.018799999999999E-2</v>
      </c>
      <c r="W73" s="106">
        <f>'rMCZ 23 Yarmouth to Cowes'!$B10</f>
        <v>9.018799999999999E-2</v>
      </c>
      <c r="X73" s="189">
        <f t="shared" si="33"/>
        <v>1.8037599999999991</v>
      </c>
      <c r="Y73" s="106">
        <f t="shared" si="34"/>
        <v>9.0187999999999963E-2</v>
      </c>
      <c r="Z73" s="190">
        <f t="shared" si="35"/>
        <v>1.2817882289964744</v>
      </c>
    </row>
    <row r="74" spans="1:26" s="13" customFormat="1">
      <c r="A74" s="3"/>
      <c r="B74" s="3"/>
      <c r="C74" s="13" t="s">
        <v>289</v>
      </c>
      <c r="D74" s="106">
        <f>'rMCZ RA 3 Holehaven Creek'!$B10+('rMCZ RA 3 Holehaven Creek'!$D42-'rMCZ RA 3 Holehaven Creek'!$B10)</f>
        <v>6.8222100000000008E-2</v>
      </c>
      <c r="E74" s="106">
        <f>'rMCZ RA 3 Holehaven Creek'!$B10+('rMCZ RA 3 Holehaven Creek'!$D42-'rMCZ RA 3 Holehaven Creek'!$B10)</f>
        <v>6.8222100000000008E-2</v>
      </c>
      <c r="F74" s="106">
        <f>'rMCZ RA 3 Holehaven Creek'!$B10+('rMCZ RA 3 Holehaven Creek'!$D42-'rMCZ RA 3 Holehaven Creek'!$B10)</f>
        <v>6.8222100000000008E-2</v>
      </c>
      <c r="G74" s="106">
        <f>'rMCZ RA 3 Holehaven Creek'!$B10+('rMCZ RA 3 Holehaven Creek'!$D42-'rMCZ RA 3 Holehaven Creek'!$B10)</f>
        <v>6.8222100000000008E-2</v>
      </c>
      <c r="H74" s="106">
        <f>'rMCZ RA 3 Holehaven Creek'!$B10+('rMCZ RA 3 Holehaven Creek'!$D42-'rMCZ RA 3 Holehaven Creek'!$B10)</f>
        <v>6.8222100000000008E-2</v>
      </c>
      <c r="I74" s="106">
        <f>'rMCZ RA 3 Holehaven Creek'!$B10+('rMCZ RA 3 Holehaven Creek'!$D42-'rMCZ RA 3 Holehaven Creek'!$B10)</f>
        <v>6.8222100000000008E-2</v>
      </c>
      <c r="J74" s="106">
        <f>'rMCZ RA 3 Holehaven Creek'!$B10+('rMCZ RA 3 Holehaven Creek'!$D42-'rMCZ RA 3 Holehaven Creek'!$B10)</f>
        <v>6.8222100000000008E-2</v>
      </c>
      <c r="K74" s="106">
        <f>'rMCZ RA 3 Holehaven Creek'!$B10+('rMCZ RA 3 Holehaven Creek'!$D42-'rMCZ RA 3 Holehaven Creek'!$B10)</f>
        <v>6.8222100000000008E-2</v>
      </c>
      <c r="L74" s="106">
        <f>'rMCZ RA 3 Holehaven Creek'!$B10+('rMCZ RA 3 Holehaven Creek'!$D42-'rMCZ RA 3 Holehaven Creek'!$B10)</f>
        <v>6.8222100000000008E-2</v>
      </c>
      <c r="M74" s="106">
        <f>'rMCZ RA 3 Holehaven Creek'!$B10+('rMCZ RA 3 Holehaven Creek'!$D42-'rMCZ RA 3 Holehaven Creek'!$B10)</f>
        <v>6.8222100000000008E-2</v>
      </c>
      <c r="N74" s="106">
        <f>'rMCZ RA 3 Holehaven Creek'!$B10+('rMCZ RA 3 Holehaven Creek'!$D42-'rMCZ RA 3 Holehaven Creek'!$B10)</f>
        <v>6.8222100000000008E-2</v>
      </c>
      <c r="O74" s="106">
        <f>'rMCZ RA 3 Holehaven Creek'!$B10+('rMCZ RA 3 Holehaven Creek'!$D42-'rMCZ RA 3 Holehaven Creek'!$B10)</f>
        <v>6.8222100000000008E-2</v>
      </c>
      <c r="P74" s="106">
        <f>'rMCZ RA 3 Holehaven Creek'!$B10+('rMCZ RA 3 Holehaven Creek'!$D42-'rMCZ RA 3 Holehaven Creek'!$B10)</f>
        <v>6.8222100000000008E-2</v>
      </c>
      <c r="Q74" s="106">
        <f>'rMCZ RA 3 Holehaven Creek'!$B10+('rMCZ RA 3 Holehaven Creek'!$D42-'rMCZ RA 3 Holehaven Creek'!$B10)</f>
        <v>6.8222100000000008E-2</v>
      </c>
      <c r="R74" s="106">
        <f>'rMCZ RA 3 Holehaven Creek'!$B10+('rMCZ RA 3 Holehaven Creek'!$D42-'rMCZ RA 3 Holehaven Creek'!$B10)</f>
        <v>6.8222100000000008E-2</v>
      </c>
      <c r="S74" s="106">
        <f>'rMCZ RA 3 Holehaven Creek'!$B10+('rMCZ RA 3 Holehaven Creek'!$D42-'rMCZ RA 3 Holehaven Creek'!$B10)</f>
        <v>6.8222100000000008E-2</v>
      </c>
      <c r="T74" s="106">
        <f>'rMCZ RA 3 Holehaven Creek'!$B10+('rMCZ RA 3 Holehaven Creek'!$D42-'rMCZ RA 3 Holehaven Creek'!$B10)</f>
        <v>6.8222100000000008E-2</v>
      </c>
      <c r="U74" s="106">
        <f>'rMCZ RA 3 Holehaven Creek'!$B10+('rMCZ RA 3 Holehaven Creek'!$D42-'rMCZ RA 3 Holehaven Creek'!$B10)</f>
        <v>6.8222100000000008E-2</v>
      </c>
      <c r="V74" s="106">
        <f>'rMCZ RA 3 Holehaven Creek'!$B10+('rMCZ RA 3 Holehaven Creek'!$D42-'rMCZ RA 3 Holehaven Creek'!$B10)</f>
        <v>6.8222100000000008E-2</v>
      </c>
      <c r="W74" s="106">
        <f>'rMCZ RA 3 Holehaven Creek'!$B10+('rMCZ RA 3 Holehaven Creek'!$D42-'rMCZ RA 3 Holehaven Creek'!$B10)</f>
        <v>6.8222100000000008E-2</v>
      </c>
      <c r="X74" s="189">
        <f t="shared" si="33"/>
        <v>1.3644420000000008</v>
      </c>
      <c r="Y74" s="106">
        <f t="shared" si="34"/>
        <v>6.8222100000000035E-2</v>
      </c>
      <c r="Z74" s="190">
        <f t="shared" si="35"/>
        <v>0.96959999930612029</v>
      </c>
    </row>
    <row r="75" spans="1:26" s="13" customFormat="1">
      <c r="A75" s="3"/>
      <c r="B75" s="3"/>
      <c r="C75" s="16" t="s">
        <v>290</v>
      </c>
      <c r="D75" s="106">
        <f>'rMCZ RA24 Harwich Haven'!$B10+('rMCZ RA24 Harwich Haven'!$D42-'rMCZ RA24 Harwich Haven'!$B10)</f>
        <v>6.8222100000000008E-2</v>
      </c>
      <c r="E75" s="106">
        <f>'rMCZ RA24 Harwich Haven'!$B10+('rMCZ RA24 Harwich Haven'!$D42-'rMCZ RA24 Harwich Haven'!$B10)</f>
        <v>6.8222100000000008E-2</v>
      </c>
      <c r="F75" s="106">
        <f>'rMCZ RA24 Harwich Haven'!$B10+('rMCZ RA24 Harwich Haven'!$D42-'rMCZ RA24 Harwich Haven'!$B10)</f>
        <v>6.8222100000000008E-2</v>
      </c>
      <c r="G75" s="106">
        <f>'rMCZ RA24 Harwich Haven'!$B10+('rMCZ RA24 Harwich Haven'!$D42-'rMCZ RA24 Harwich Haven'!$B10)</f>
        <v>6.8222100000000008E-2</v>
      </c>
      <c r="H75" s="106">
        <f>'rMCZ RA24 Harwich Haven'!$B10+('rMCZ RA24 Harwich Haven'!$D42-'rMCZ RA24 Harwich Haven'!$B10)</f>
        <v>6.8222100000000008E-2</v>
      </c>
      <c r="I75" s="106">
        <f>'rMCZ RA24 Harwich Haven'!$B10+('rMCZ RA24 Harwich Haven'!$D42-'rMCZ RA24 Harwich Haven'!$B10)</f>
        <v>6.8222100000000008E-2</v>
      </c>
      <c r="J75" s="106">
        <f>'rMCZ RA24 Harwich Haven'!$B10+('rMCZ RA24 Harwich Haven'!$D42-'rMCZ RA24 Harwich Haven'!$B10)</f>
        <v>6.8222100000000008E-2</v>
      </c>
      <c r="K75" s="106">
        <f>'rMCZ RA24 Harwich Haven'!$B10+('rMCZ RA24 Harwich Haven'!$D42-'rMCZ RA24 Harwich Haven'!$B10)</f>
        <v>6.8222100000000008E-2</v>
      </c>
      <c r="L75" s="106">
        <f>'rMCZ RA24 Harwich Haven'!$B10+('rMCZ RA24 Harwich Haven'!$D42-'rMCZ RA24 Harwich Haven'!$B10)</f>
        <v>6.8222100000000008E-2</v>
      </c>
      <c r="M75" s="106">
        <f>'rMCZ RA24 Harwich Haven'!$B10+('rMCZ RA24 Harwich Haven'!$D42-'rMCZ RA24 Harwich Haven'!$B10)</f>
        <v>6.8222100000000008E-2</v>
      </c>
      <c r="N75" s="106">
        <f>'rMCZ RA24 Harwich Haven'!$B10+('rMCZ RA24 Harwich Haven'!$D42-'rMCZ RA24 Harwich Haven'!$B10)</f>
        <v>6.8222100000000008E-2</v>
      </c>
      <c r="O75" s="106">
        <f>'rMCZ RA24 Harwich Haven'!$B10+('rMCZ RA24 Harwich Haven'!$D42-'rMCZ RA24 Harwich Haven'!$B10)</f>
        <v>6.8222100000000008E-2</v>
      </c>
      <c r="P75" s="106">
        <f>'rMCZ RA24 Harwich Haven'!$B10+('rMCZ RA24 Harwich Haven'!$D42-'rMCZ RA24 Harwich Haven'!$B10)</f>
        <v>6.8222100000000008E-2</v>
      </c>
      <c r="Q75" s="106">
        <f>'rMCZ RA24 Harwich Haven'!$B10+('rMCZ RA24 Harwich Haven'!$D42-'rMCZ RA24 Harwich Haven'!$B10)</f>
        <v>6.8222100000000008E-2</v>
      </c>
      <c r="R75" s="106">
        <f>'rMCZ RA24 Harwich Haven'!$B10+('rMCZ RA24 Harwich Haven'!$D42-'rMCZ RA24 Harwich Haven'!$B10)</f>
        <v>6.8222100000000008E-2</v>
      </c>
      <c r="S75" s="106">
        <f>'rMCZ RA24 Harwich Haven'!$B10+('rMCZ RA24 Harwich Haven'!$D42-'rMCZ RA24 Harwich Haven'!$B10)</f>
        <v>6.8222100000000008E-2</v>
      </c>
      <c r="T75" s="106">
        <f>'rMCZ RA24 Harwich Haven'!$B10+('rMCZ RA24 Harwich Haven'!$D42-'rMCZ RA24 Harwich Haven'!$B10)</f>
        <v>6.8222100000000008E-2</v>
      </c>
      <c r="U75" s="106">
        <f>'rMCZ RA24 Harwich Haven'!$B10+('rMCZ RA24 Harwich Haven'!$D42-'rMCZ RA24 Harwich Haven'!$B10)</f>
        <v>6.8222100000000008E-2</v>
      </c>
      <c r="V75" s="106">
        <f>'rMCZ RA24 Harwich Haven'!$B10+('rMCZ RA24 Harwich Haven'!$D42-'rMCZ RA24 Harwich Haven'!$B10)</f>
        <v>6.8222100000000008E-2</v>
      </c>
      <c r="W75" s="106">
        <f>'rMCZ RA24 Harwich Haven'!$B10+('rMCZ RA24 Harwich Haven'!$D42-'rMCZ RA24 Harwich Haven'!$B10)</f>
        <v>6.8222100000000008E-2</v>
      </c>
      <c r="X75" s="189">
        <f t="shared" si="33"/>
        <v>1.3644420000000008</v>
      </c>
      <c r="Y75" s="106">
        <f t="shared" si="34"/>
        <v>6.8222100000000035E-2</v>
      </c>
      <c r="Z75" s="190">
        <f t="shared" si="35"/>
        <v>0.96959999930612029</v>
      </c>
    </row>
    <row r="76" spans="1:26" s="13" customFormat="1">
      <c r="A76" s="3"/>
      <c r="B76" s="3"/>
      <c r="C76" s="13" t="s">
        <v>291</v>
      </c>
      <c r="D76" s="106">
        <f>'Charter Boats'!$F8/1000000</f>
        <v>0.18329999999999999</v>
      </c>
      <c r="E76" s="106">
        <f>'Charter Boats'!$F8/1000000</f>
        <v>0.18329999999999999</v>
      </c>
      <c r="F76" s="106">
        <f>'Charter Boats'!$F8/1000000</f>
        <v>0.18329999999999999</v>
      </c>
      <c r="G76" s="106">
        <f>'Charter Boats'!$F8/1000000</f>
        <v>0.18329999999999999</v>
      </c>
      <c r="H76" s="106">
        <f>'Charter Boats'!$F8/1000000</f>
        <v>0.18329999999999999</v>
      </c>
      <c r="I76" s="106">
        <f>'Charter Boats'!$F8/1000000</f>
        <v>0.18329999999999999</v>
      </c>
      <c r="J76" s="106">
        <f>'Charter Boats'!$F8/1000000</f>
        <v>0.18329999999999999</v>
      </c>
      <c r="K76" s="106">
        <f>'Charter Boats'!$F8/1000000</f>
        <v>0.18329999999999999</v>
      </c>
      <c r="L76" s="106">
        <f>'Charter Boats'!$F8/1000000</f>
        <v>0.18329999999999999</v>
      </c>
      <c r="M76" s="106">
        <f>'Charter Boats'!$F8/1000000</f>
        <v>0.18329999999999999</v>
      </c>
      <c r="N76" s="106">
        <f>'Charter Boats'!$F8/1000000</f>
        <v>0.18329999999999999</v>
      </c>
      <c r="O76" s="106">
        <f>'Charter Boats'!$F8/1000000</f>
        <v>0.18329999999999999</v>
      </c>
      <c r="P76" s="106">
        <f>'Charter Boats'!$F8/1000000</f>
        <v>0.18329999999999999</v>
      </c>
      <c r="Q76" s="106">
        <f>'Charter Boats'!$F8/1000000</f>
        <v>0.18329999999999999</v>
      </c>
      <c r="R76" s="106">
        <f>'Charter Boats'!$F8/1000000</f>
        <v>0.18329999999999999</v>
      </c>
      <c r="S76" s="106">
        <f>'Charter Boats'!$F8/1000000</f>
        <v>0.18329999999999999</v>
      </c>
      <c r="T76" s="106">
        <f>'Charter Boats'!$F8/1000000</f>
        <v>0.18329999999999999</v>
      </c>
      <c r="U76" s="106">
        <f>'Charter Boats'!$F8/1000000</f>
        <v>0.18329999999999999</v>
      </c>
      <c r="V76" s="106">
        <f>'Charter Boats'!$F8/1000000</f>
        <v>0.18329999999999999</v>
      </c>
      <c r="W76" s="106">
        <f>'Charter Boats'!$F8/1000000</f>
        <v>0.18329999999999999</v>
      </c>
      <c r="X76" s="189">
        <f t="shared" si="33"/>
        <v>3.6659999999999999</v>
      </c>
      <c r="Y76" s="106">
        <f t="shared" si="34"/>
        <v>0.18329999999999999</v>
      </c>
      <c r="Z76" s="190">
        <f t="shared" si="35"/>
        <v>2.6051335252478571</v>
      </c>
    </row>
    <row r="77" spans="1:26" s="13" customFormat="1">
      <c r="A77" s="3"/>
      <c r="B77" s="3"/>
      <c r="C77" s="13" t="s">
        <v>292</v>
      </c>
      <c r="D77" s="106">
        <f>'Charter Boats'!$F10/1000000</f>
        <v>8.2485000000000003E-2</v>
      </c>
      <c r="E77" s="106">
        <f>'Charter Boats'!$F10/1000000</f>
        <v>8.2485000000000003E-2</v>
      </c>
      <c r="F77" s="106">
        <f>'Charter Boats'!$F10/1000000</f>
        <v>8.2485000000000003E-2</v>
      </c>
      <c r="G77" s="106">
        <f>'Charter Boats'!$F10/1000000</f>
        <v>8.2485000000000003E-2</v>
      </c>
      <c r="H77" s="106">
        <f>'Charter Boats'!$F10/1000000</f>
        <v>8.2485000000000003E-2</v>
      </c>
      <c r="I77" s="106">
        <f>'Charter Boats'!$F10/1000000</f>
        <v>8.2485000000000003E-2</v>
      </c>
      <c r="J77" s="106">
        <f>'Charter Boats'!$F10/1000000</f>
        <v>8.2485000000000003E-2</v>
      </c>
      <c r="K77" s="106">
        <f>'Charter Boats'!$F10/1000000</f>
        <v>8.2485000000000003E-2</v>
      </c>
      <c r="L77" s="106">
        <f>'Charter Boats'!$F10/1000000</f>
        <v>8.2485000000000003E-2</v>
      </c>
      <c r="M77" s="106">
        <f>'Charter Boats'!$F10/1000000</f>
        <v>8.2485000000000003E-2</v>
      </c>
      <c r="N77" s="106">
        <f>'Charter Boats'!$F10/1000000</f>
        <v>8.2485000000000003E-2</v>
      </c>
      <c r="O77" s="106">
        <f>'Charter Boats'!$F10/1000000</f>
        <v>8.2485000000000003E-2</v>
      </c>
      <c r="P77" s="106">
        <f>'Charter Boats'!$F10/1000000</f>
        <v>8.2485000000000003E-2</v>
      </c>
      <c r="Q77" s="106">
        <f>'Charter Boats'!$F10/1000000</f>
        <v>8.2485000000000003E-2</v>
      </c>
      <c r="R77" s="106">
        <f>'Charter Boats'!$F10/1000000</f>
        <v>8.2485000000000003E-2</v>
      </c>
      <c r="S77" s="106">
        <f>'Charter Boats'!$F10/1000000</f>
        <v>8.2485000000000003E-2</v>
      </c>
      <c r="T77" s="106">
        <f>'Charter Boats'!$F10/1000000</f>
        <v>8.2485000000000003E-2</v>
      </c>
      <c r="U77" s="106">
        <f>'Charter Boats'!$F10/1000000</f>
        <v>8.2485000000000003E-2</v>
      </c>
      <c r="V77" s="106">
        <f>'Charter Boats'!$F10/1000000</f>
        <v>8.2485000000000003E-2</v>
      </c>
      <c r="W77" s="106">
        <f>'Charter Boats'!$F10/1000000</f>
        <v>8.2485000000000003E-2</v>
      </c>
      <c r="X77" s="189">
        <f t="shared" ref="X77:X80" si="36">SUM(D77:W77)</f>
        <v>1.6496999999999997</v>
      </c>
      <c r="Y77" s="106">
        <f t="shared" ref="Y77:Y80" si="37">X77/20</f>
        <v>8.2484999999999989E-2</v>
      </c>
      <c r="Z77" s="190">
        <f t="shared" si="35"/>
        <v>1.1723100863615359</v>
      </c>
    </row>
    <row r="78" spans="1:26" s="13" customFormat="1">
      <c r="A78" s="3"/>
      <c r="B78" s="3"/>
      <c r="C78" s="13" t="s">
        <v>293</v>
      </c>
      <c r="D78" s="106">
        <f>'Charter Boats'!$F25/1000000</f>
        <v>3.7600000000000001E-2</v>
      </c>
      <c r="E78" s="106">
        <f>'Charter Boats'!$F25/1000000</f>
        <v>3.7600000000000001E-2</v>
      </c>
      <c r="F78" s="106">
        <f>'Charter Boats'!$F25/1000000</f>
        <v>3.7600000000000001E-2</v>
      </c>
      <c r="G78" s="106">
        <f>'Charter Boats'!$F25/1000000</f>
        <v>3.7600000000000001E-2</v>
      </c>
      <c r="H78" s="106">
        <f>'Charter Boats'!$F25/1000000</f>
        <v>3.7600000000000001E-2</v>
      </c>
      <c r="I78" s="106">
        <f>'Charter Boats'!$F25/1000000</f>
        <v>3.7600000000000001E-2</v>
      </c>
      <c r="J78" s="106">
        <f>'Charter Boats'!$F25/1000000</f>
        <v>3.7600000000000001E-2</v>
      </c>
      <c r="K78" s="106">
        <f>'Charter Boats'!$F25/1000000</f>
        <v>3.7600000000000001E-2</v>
      </c>
      <c r="L78" s="106">
        <f>'Charter Boats'!$F25/1000000</f>
        <v>3.7600000000000001E-2</v>
      </c>
      <c r="M78" s="106">
        <f>'Charter Boats'!$F25/1000000</f>
        <v>3.7600000000000001E-2</v>
      </c>
      <c r="N78" s="106">
        <f>'Charter Boats'!$F25/1000000</f>
        <v>3.7600000000000001E-2</v>
      </c>
      <c r="O78" s="106">
        <f>'Charter Boats'!$F25/1000000</f>
        <v>3.7600000000000001E-2</v>
      </c>
      <c r="P78" s="106">
        <f>'Charter Boats'!$F25/1000000</f>
        <v>3.7600000000000001E-2</v>
      </c>
      <c r="Q78" s="106">
        <f>'Charter Boats'!$F25/1000000</f>
        <v>3.7600000000000001E-2</v>
      </c>
      <c r="R78" s="106">
        <f>'Charter Boats'!$F25/1000000</f>
        <v>3.7600000000000001E-2</v>
      </c>
      <c r="S78" s="106">
        <f>'Charter Boats'!$F25/1000000</f>
        <v>3.7600000000000001E-2</v>
      </c>
      <c r="T78" s="106">
        <f>'Charter Boats'!$F25/1000000</f>
        <v>3.7600000000000001E-2</v>
      </c>
      <c r="U78" s="106">
        <f>'Charter Boats'!$F25/1000000</f>
        <v>3.7600000000000001E-2</v>
      </c>
      <c r="V78" s="106">
        <f>'Charter Boats'!$F25/1000000</f>
        <v>3.7600000000000001E-2</v>
      </c>
      <c r="W78" s="106">
        <f>'Charter Boats'!$F25/1000000</f>
        <v>3.7600000000000001E-2</v>
      </c>
      <c r="X78" s="189">
        <f t="shared" si="36"/>
        <v>0.75199999999999989</v>
      </c>
      <c r="Y78" s="106">
        <f t="shared" si="37"/>
        <v>3.7599999999999995E-2</v>
      </c>
      <c r="Z78" s="190">
        <f t="shared" si="35"/>
        <v>0.53438636415340646</v>
      </c>
    </row>
    <row r="79" spans="1:26" s="13" customFormat="1">
      <c r="A79" s="3"/>
      <c r="B79" s="3"/>
      <c r="C79" s="13" t="s">
        <v>294</v>
      </c>
      <c r="D79" s="106">
        <f>'Charter Boats'!$F11/1000000</f>
        <v>9.8699999999999996E-2</v>
      </c>
      <c r="E79" s="106">
        <f>'Charter Boats'!$F11/1000000</f>
        <v>9.8699999999999996E-2</v>
      </c>
      <c r="F79" s="106">
        <f>'Charter Boats'!$F11/1000000</f>
        <v>9.8699999999999996E-2</v>
      </c>
      <c r="G79" s="106">
        <f>'Charter Boats'!$F11/1000000</f>
        <v>9.8699999999999996E-2</v>
      </c>
      <c r="H79" s="106">
        <f>'Charter Boats'!$F11/1000000</f>
        <v>9.8699999999999996E-2</v>
      </c>
      <c r="I79" s="106">
        <f>'Charter Boats'!$F11/1000000</f>
        <v>9.8699999999999996E-2</v>
      </c>
      <c r="J79" s="106">
        <f>'Charter Boats'!$F11/1000000</f>
        <v>9.8699999999999996E-2</v>
      </c>
      <c r="K79" s="106">
        <f>'Charter Boats'!$F11/1000000</f>
        <v>9.8699999999999996E-2</v>
      </c>
      <c r="L79" s="106">
        <f>'Charter Boats'!$F11/1000000</f>
        <v>9.8699999999999996E-2</v>
      </c>
      <c r="M79" s="106">
        <f>'Charter Boats'!$F11/1000000</f>
        <v>9.8699999999999996E-2</v>
      </c>
      <c r="N79" s="106">
        <f>'Charter Boats'!$F11/1000000</f>
        <v>9.8699999999999996E-2</v>
      </c>
      <c r="O79" s="106">
        <f>'Charter Boats'!$F11/1000000</f>
        <v>9.8699999999999996E-2</v>
      </c>
      <c r="P79" s="106">
        <f>'Charter Boats'!$F11/1000000</f>
        <v>9.8699999999999996E-2</v>
      </c>
      <c r="Q79" s="106">
        <f>'Charter Boats'!$F11/1000000</f>
        <v>9.8699999999999996E-2</v>
      </c>
      <c r="R79" s="106">
        <f>'Charter Boats'!$F11/1000000</f>
        <v>9.8699999999999996E-2</v>
      </c>
      <c r="S79" s="106">
        <f>'Charter Boats'!$F11/1000000</f>
        <v>9.8699999999999996E-2</v>
      </c>
      <c r="T79" s="106">
        <f>'Charter Boats'!$F11/1000000</f>
        <v>9.8699999999999996E-2</v>
      </c>
      <c r="U79" s="106">
        <f>'Charter Boats'!$F11/1000000</f>
        <v>9.8699999999999996E-2</v>
      </c>
      <c r="V79" s="106">
        <f>'Charter Boats'!$F11/1000000</f>
        <v>9.8699999999999996E-2</v>
      </c>
      <c r="W79" s="106">
        <f>'Charter Boats'!$F11/1000000</f>
        <v>9.8699999999999996E-2</v>
      </c>
      <c r="X79" s="189">
        <f t="shared" si="36"/>
        <v>1.974</v>
      </c>
      <c r="Y79" s="106">
        <f t="shared" si="37"/>
        <v>9.8699999999999996E-2</v>
      </c>
      <c r="Z79" s="190">
        <f t="shared" si="35"/>
        <v>1.4027642059026921</v>
      </c>
    </row>
    <row r="80" spans="1:26" s="13" customFormat="1">
      <c r="A80" s="3"/>
      <c r="B80" s="3"/>
      <c r="C80" s="13" t="s">
        <v>295</v>
      </c>
      <c r="D80" s="106">
        <f>'Charter Boats'!$F18/1000000</f>
        <v>0.16450000000000001</v>
      </c>
      <c r="E80" s="106">
        <f>'Charter Boats'!$F18/1000000</f>
        <v>0.16450000000000001</v>
      </c>
      <c r="F80" s="106">
        <f>'Charter Boats'!$F18/1000000</f>
        <v>0.16450000000000001</v>
      </c>
      <c r="G80" s="106">
        <f>'Charter Boats'!$F18/1000000</f>
        <v>0.16450000000000001</v>
      </c>
      <c r="H80" s="106">
        <f>'Charter Boats'!$F18/1000000</f>
        <v>0.16450000000000001</v>
      </c>
      <c r="I80" s="106">
        <f>'Charter Boats'!$F18/1000000</f>
        <v>0.16450000000000001</v>
      </c>
      <c r="J80" s="106">
        <f>'Charter Boats'!$F18/1000000</f>
        <v>0.16450000000000001</v>
      </c>
      <c r="K80" s="106">
        <f>'Charter Boats'!$F18/1000000</f>
        <v>0.16450000000000001</v>
      </c>
      <c r="L80" s="106">
        <f>'Charter Boats'!$F18/1000000</f>
        <v>0.16450000000000001</v>
      </c>
      <c r="M80" s="106">
        <f>'Charter Boats'!$F18/1000000</f>
        <v>0.16450000000000001</v>
      </c>
      <c r="N80" s="106">
        <f>'Charter Boats'!$F18/1000000</f>
        <v>0.16450000000000001</v>
      </c>
      <c r="O80" s="106">
        <f>'Charter Boats'!$F18/1000000</f>
        <v>0.16450000000000001</v>
      </c>
      <c r="P80" s="106">
        <f>'Charter Boats'!$F18/1000000</f>
        <v>0.16450000000000001</v>
      </c>
      <c r="Q80" s="106">
        <f>'Charter Boats'!$F18/1000000</f>
        <v>0.16450000000000001</v>
      </c>
      <c r="R80" s="106">
        <f>'Charter Boats'!$F18/1000000</f>
        <v>0.16450000000000001</v>
      </c>
      <c r="S80" s="106">
        <f>'Charter Boats'!$F18/1000000</f>
        <v>0.16450000000000001</v>
      </c>
      <c r="T80" s="106">
        <f>'Charter Boats'!$F18/1000000</f>
        <v>0.16450000000000001</v>
      </c>
      <c r="U80" s="106">
        <f>'Charter Boats'!$F18/1000000</f>
        <v>0.16450000000000001</v>
      </c>
      <c r="V80" s="106">
        <f>'Charter Boats'!$F18/1000000</f>
        <v>0.16450000000000001</v>
      </c>
      <c r="W80" s="106">
        <f>'Charter Boats'!$F18/1000000</f>
        <v>0.16450000000000001</v>
      </c>
      <c r="X80" s="189">
        <f t="shared" si="36"/>
        <v>3.2899999999999996</v>
      </c>
      <c r="Y80" s="106">
        <f t="shared" si="37"/>
        <v>0.16449999999999998</v>
      </c>
      <c r="Z80" s="190">
        <f t="shared" si="35"/>
        <v>2.3379403431711534</v>
      </c>
    </row>
    <row r="81" spans="1:26" s="13" customFormat="1">
      <c r="A81" s="3"/>
      <c r="B81" s="3"/>
      <c r="C81" s="13" t="s">
        <v>296</v>
      </c>
      <c r="D81" s="106">
        <f>'Charter Boats'!$F9/1000000</f>
        <v>9.1649999999999995E-2</v>
      </c>
      <c r="E81" s="106">
        <f>'Charter Boats'!$F9/1000000</f>
        <v>9.1649999999999995E-2</v>
      </c>
      <c r="F81" s="106">
        <f>'Charter Boats'!$F9/1000000</f>
        <v>9.1649999999999995E-2</v>
      </c>
      <c r="G81" s="106">
        <f>'Charter Boats'!$F9/1000000</f>
        <v>9.1649999999999995E-2</v>
      </c>
      <c r="H81" s="106">
        <f>'Charter Boats'!$F9/1000000</f>
        <v>9.1649999999999995E-2</v>
      </c>
      <c r="I81" s="106">
        <f>'Charter Boats'!$F9/1000000</f>
        <v>9.1649999999999995E-2</v>
      </c>
      <c r="J81" s="106">
        <f>'Charter Boats'!$F9/1000000</f>
        <v>9.1649999999999995E-2</v>
      </c>
      <c r="K81" s="106">
        <f>'Charter Boats'!$F9/1000000</f>
        <v>9.1649999999999995E-2</v>
      </c>
      <c r="L81" s="106">
        <f>'Charter Boats'!$F9/1000000</f>
        <v>9.1649999999999995E-2</v>
      </c>
      <c r="M81" s="106">
        <f>'Charter Boats'!$F9/1000000</f>
        <v>9.1649999999999995E-2</v>
      </c>
      <c r="N81" s="106">
        <f>'Charter Boats'!$F9/1000000</f>
        <v>9.1649999999999995E-2</v>
      </c>
      <c r="O81" s="106">
        <f>'Charter Boats'!$F9/1000000</f>
        <v>9.1649999999999995E-2</v>
      </c>
      <c r="P81" s="106">
        <f>'Charter Boats'!$F9/1000000</f>
        <v>9.1649999999999995E-2</v>
      </c>
      <c r="Q81" s="106">
        <f>'Charter Boats'!$F9/1000000</f>
        <v>9.1649999999999995E-2</v>
      </c>
      <c r="R81" s="106">
        <f>'Charter Boats'!$F9/1000000</f>
        <v>9.1649999999999995E-2</v>
      </c>
      <c r="S81" s="106">
        <f>'Charter Boats'!$F9/1000000</f>
        <v>9.1649999999999995E-2</v>
      </c>
      <c r="T81" s="106">
        <f>'Charter Boats'!$F9/1000000</f>
        <v>9.1649999999999995E-2</v>
      </c>
      <c r="U81" s="106">
        <f>'Charter Boats'!$F9/1000000</f>
        <v>9.1649999999999995E-2</v>
      </c>
      <c r="V81" s="106">
        <f>'Charter Boats'!$F9/1000000</f>
        <v>9.1649999999999995E-2</v>
      </c>
      <c r="W81" s="106">
        <f>'Charter Boats'!$F9/1000000</f>
        <v>9.1649999999999995E-2</v>
      </c>
      <c r="X81" s="189">
        <f>SUM(D81:W81)</f>
        <v>1.833</v>
      </c>
      <c r="Y81" s="106">
        <f>X81/20</f>
        <v>9.1649999999999995E-2</v>
      </c>
      <c r="Z81" s="190">
        <f t="shared" si="35"/>
        <v>1.3025667626239286</v>
      </c>
    </row>
    <row r="82" spans="1:26" s="13" customFormat="1">
      <c r="C82" s="43"/>
      <c r="D82" s="106"/>
      <c r="E82" s="106"/>
      <c r="F82" s="106"/>
      <c r="G82" s="106"/>
      <c r="H82" s="106"/>
      <c r="I82" s="106"/>
      <c r="J82" s="106"/>
      <c r="K82" s="106"/>
      <c r="L82" s="106"/>
      <c r="M82" s="106"/>
      <c r="N82" s="106"/>
      <c r="O82" s="106"/>
      <c r="P82" s="106"/>
      <c r="Q82" s="106"/>
      <c r="R82" s="106"/>
      <c r="S82" s="106"/>
      <c r="T82" s="106"/>
      <c r="U82" s="106"/>
      <c r="V82" s="106"/>
      <c r="W82" s="106"/>
      <c r="X82" s="189"/>
      <c r="Y82" s="106"/>
      <c r="Z82" s="121"/>
    </row>
    <row r="83" spans="1:26" s="13" customFormat="1">
      <c r="A83" s="3"/>
      <c r="B83" s="3"/>
      <c r="C83" s="13" t="s">
        <v>9</v>
      </c>
      <c r="D83" s="106">
        <f>SUM(D65:D69)</f>
        <v>2.6573235899999998</v>
      </c>
      <c r="E83" s="106">
        <f t="shared" ref="E83:W83" si="38">SUM(E65:E69)</f>
        <v>0</v>
      </c>
      <c r="F83" s="106">
        <f t="shared" si="38"/>
        <v>0</v>
      </c>
      <c r="G83" s="106">
        <f t="shared" si="38"/>
        <v>0</v>
      </c>
      <c r="H83" s="106">
        <f t="shared" si="38"/>
        <v>0</v>
      </c>
      <c r="I83" s="106">
        <f t="shared" si="38"/>
        <v>0</v>
      </c>
      <c r="J83" s="106">
        <f t="shared" si="38"/>
        <v>0</v>
      </c>
      <c r="K83" s="106">
        <f t="shared" si="38"/>
        <v>0</v>
      </c>
      <c r="L83" s="106">
        <f t="shared" si="38"/>
        <v>0</v>
      </c>
      <c r="M83" s="106">
        <f t="shared" si="38"/>
        <v>0</v>
      </c>
      <c r="N83" s="106">
        <f t="shared" si="38"/>
        <v>0</v>
      </c>
      <c r="O83" s="106">
        <f t="shared" si="38"/>
        <v>0</v>
      </c>
      <c r="P83" s="106">
        <f t="shared" si="38"/>
        <v>0</v>
      </c>
      <c r="Q83" s="106">
        <f t="shared" si="38"/>
        <v>0</v>
      </c>
      <c r="R83" s="106">
        <f t="shared" si="38"/>
        <v>0</v>
      </c>
      <c r="S83" s="106">
        <f t="shared" si="38"/>
        <v>0</v>
      </c>
      <c r="T83" s="106">
        <f t="shared" si="38"/>
        <v>0</v>
      </c>
      <c r="U83" s="106">
        <f t="shared" si="38"/>
        <v>0</v>
      </c>
      <c r="V83" s="106">
        <f t="shared" si="38"/>
        <v>0</v>
      </c>
      <c r="W83" s="106">
        <f t="shared" si="38"/>
        <v>0</v>
      </c>
      <c r="X83" s="189">
        <f>SUM(D83:W83)</f>
        <v>2.6573235899999998</v>
      </c>
      <c r="Y83" s="106">
        <f>X83/20</f>
        <v>0.13286617949999999</v>
      </c>
      <c r="Z83" s="190">
        <f t="shared" ref="Z83:Z85" si="39">NPV(3.5%,D83:W83)</f>
        <v>2.5674624057971016</v>
      </c>
    </row>
    <row r="84" spans="1:26" s="13" customFormat="1">
      <c r="C84" s="13" t="s">
        <v>10</v>
      </c>
      <c r="D84" s="106">
        <f>SUM(D71:D81)</f>
        <v>1.3362432000000002</v>
      </c>
      <c r="E84" s="106">
        <f t="shared" ref="E84:W84" si="40">SUM(E71:E81)</f>
        <v>1.3362432000000002</v>
      </c>
      <c r="F84" s="106">
        <f t="shared" si="40"/>
        <v>1.3362432000000002</v>
      </c>
      <c r="G84" s="106">
        <f t="shared" si="40"/>
        <v>1.3362432000000002</v>
      </c>
      <c r="H84" s="106">
        <f t="shared" si="40"/>
        <v>1.3362432000000002</v>
      </c>
      <c r="I84" s="106">
        <f t="shared" si="40"/>
        <v>1.3362432000000002</v>
      </c>
      <c r="J84" s="106">
        <f t="shared" si="40"/>
        <v>1.3362432000000002</v>
      </c>
      <c r="K84" s="106">
        <f t="shared" si="40"/>
        <v>1.3362432000000002</v>
      </c>
      <c r="L84" s="106">
        <f t="shared" si="40"/>
        <v>1.3362432000000002</v>
      </c>
      <c r="M84" s="106">
        <f t="shared" si="40"/>
        <v>1.3362432000000002</v>
      </c>
      <c r="N84" s="106">
        <f t="shared" si="40"/>
        <v>1.3362432000000002</v>
      </c>
      <c r="O84" s="106">
        <f t="shared" si="40"/>
        <v>1.3362432000000002</v>
      </c>
      <c r="P84" s="106">
        <f t="shared" si="40"/>
        <v>1.3362432000000002</v>
      </c>
      <c r="Q84" s="106">
        <f t="shared" si="40"/>
        <v>1.3362432000000002</v>
      </c>
      <c r="R84" s="106">
        <f t="shared" si="40"/>
        <v>1.3362432000000002</v>
      </c>
      <c r="S84" s="106">
        <f t="shared" si="40"/>
        <v>1.3362432000000002</v>
      </c>
      <c r="T84" s="106">
        <f t="shared" si="40"/>
        <v>1.3362432000000002</v>
      </c>
      <c r="U84" s="106">
        <f t="shared" si="40"/>
        <v>1.3362432000000002</v>
      </c>
      <c r="V84" s="106">
        <f t="shared" si="40"/>
        <v>1.3362432000000002</v>
      </c>
      <c r="W84" s="106">
        <f t="shared" si="40"/>
        <v>1.3362432000000002</v>
      </c>
      <c r="X84" s="189">
        <f>SUM(D84:W84)</f>
        <v>26.72486399999999</v>
      </c>
      <c r="Y84" s="106">
        <f>X84/20</f>
        <v>1.3362431999999995</v>
      </c>
      <c r="Z84" s="190">
        <f t="shared" si="39"/>
        <v>18.991227267891315</v>
      </c>
    </row>
    <row r="85" spans="1:26" s="3" customFormat="1">
      <c r="C85" s="3" t="s">
        <v>8</v>
      </c>
      <c r="D85" s="140">
        <f>D84+D83</f>
        <v>3.99356679</v>
      </c>
      <c r="E85" s="140">
        <f t="shared" ref="E85:W85" si="41">E84+E83</f>
        <v>1.3362432000000002</v>
      </c>
      <c r="F85" s="140">
        <f t="shared" si="41"/>
        <v>1.3362432000000002</v>
      </c>
      <c r="G85" s="140">
        <f t="shared" si="41"/>
        <v>1.3362432000000002</v>
      </c>
      <c r="H85" s="140">
        <f t="shared" si="41"/>
        <v>1.3362432000000002</v>
      </c>
      <c r="I85" s="140">
        <f t="shared" si="41"/>
        <v>1.3362432000000002</v>
      </c>
      <c r="J85" s="140">
        <f t="shared" si="41"/>
        <v>1.3362432000000002</v>
      </c>
      <c r="K85" s="140">
        <f t="shared" si="41"/>
        <v>1.3362432000000002</v>
      </c>
      <c r="L85" s="140">
        <f t="shared" si="41"/>
        <v>1.3362432000000002</v>
      </c>
      <c r="M85" s="140">
        <f t="shared" si="41"/>
        <v>1.3362432000000002</v>
      </c>
      <c r="N85" s="140">
        <f t="shared" si="41"/>
        <v>1.3362432000000002</v>
      </c>
      <c r="O85" s="140">
        <f t="shared" si="41"/>
        <v>1.3362432000000002</v>
      </c>
      <c r="P85" s="140">
        <f t="shared" si="41"/>
        <v>1.3362432000000002</v>
      </c>
      <c r="Q85" s="140">
        <f t="shared" si="41"/>
        <v>1.3362432000000002</v>
      </c>
      <c r="R85" s="140">
        <f t="shared" si="41"/>
        <v>1.3362432000000002</v>
      </c>
      <c r="S85" s="140">
        <f t="shared" si="41"/>
        <v>1.3362432000000002</v>
      </c>
      <c r="T85" s="140">
        <f t="shared" si="41"/>
        <v>1.3362432000000002</v>
      </c>
      <c r="U85" s="140">
        <f t="shared" si="41"/>
        <v>1.3362432000000002</v>
      </c>
      <c r="V85" s="140">
        <f t="shared" si="41"/>
        <v>1.3362432000000002</v>
      </c>
      <c r="W85" s="140">
        <f t="shared" si="41"/>
        <v>1.3362432000000002</v>
      </c>
      <c r="X85" s="205">
        <f>SUM(D85:W85)</f>
        <v>29.382187589999987</v>
      </c>
      <c r="Y85" s="140">
        <f>X85/20</f>
        <v>1.4691093794999994</v>
      </c>
      <c r="Z85" s="208">
        <f t="shared" si="39"/>
        <v>21.558689673688413</v>
      </c>
    </row>
    <row r="86" spans="1:26" s="3" customFormat="1">
      <c r="C86" s="3" t="s">
        <v>205</v>
      </c>
      <c r="D86" s="206" t="s">
        <v>11</v>
      </c>
      <c r="E86" s="206" t="s">
        <v>11</v>
      </c>
      <c r="F86" s="206" t="s">
        <v>11</v>
      </c>
      <c r="G86" s="206" t="s">
        <v>11</v>
      </c>
      <c r="H86" s="206" t="s">
        <v>11</v>
      </c>
      <c r="I86" s="206" t="s">
        <v>11</v>
      </c>
      <c r="J86" s="206" t="s">
        <v>11</v>
      </c>
      <c r="K86" s="206" t="s">
        <v>11</v>
      </c>
      <c r="L86" s="206" t="s">
        <v>11</v>
      </c>
      <c r="M86" s="206" t="s">
        <v>11</v>
      </c>
      <c r="N86" s="206" t="s">
        <v>11</v>
      </c>
      <c r="O86" s="206" t="s">
        <v>11</v>
      </c>
      <c r="P86" s="206" t="s">
        <v>11</v>
      </c>
      <c r="Q86" s="206" t="s">
        <v>11</v>
      </c>
      <c r="R86" s="206" t="s">
        <v>11</v>
      </c>
      <c r="S86" s="206" t="s">
        <v>11</v>
      </c>
      <c r="T86" s="206" t="s">
        <v>11</v>
      </c>
      <c r="U86" s="206" t="s">
        <v>11</v>
      </c>
      <c r="V86" s="206" t="s">
        <v>11</v>
      </c>
      <c r="W86" s="206" t="s">
        <v>11</v>
      </c>
      <c r="X86" s="205">
        <f>NPV(3.5%,D85:W85)</f>
        <v>21.558689673688413</v>
      </c>
      <c r="Y86" s="206" t="s">
        <v>11</v>
      </c>
      <c r="Z86" s="207"/>
    </row>
    <row r="87" spans="1:26" s="13" customFormat="1">
      <c r="A87" s="15"/>
      <c r="B87" s="15"/>
      <c r="C87" s="89"/>
      <c r="D87" s="210"/>
      <c r="E87" s="210"/>
      <c r="F87" s="210"/>
      <c r="G87" s="210"/>
      <c r="H87" s="210"/>
      <c r="I87" s="210"/>
      <c r="J87" s="210"/>
      <c r="K87" s="210"/>
      <c r="L87" s="210"/>
      <c r="M87" s="210"/>
      <c r="N87" s="210"/>
      <c r="O87" s="210"/>
      <c r="P87" s="210"/>
      <c r="Q87" s="210"/>
      <c r="R87" s="210"/>
      <c r="S87" s="210"/>
      <c r="T87" s="210"/>
      <c r="U87" s="210"/>
      <c r="V87" s="210"/>
      <c r="W87" s="210"/>
      <c r="X87" s="211"/>
      <c r="Y87" s="210"/>
      <c r="Z87" s="187"/>
    </row>
    <row r="88" spans="1:26" s="13" customFormat="1">
      <c r="B88" s="3" t="s">
        <v>302</v>
      </c>
      <c r="C88" s="3"/>
      <c r="X88" s="30"/>
      <c r="Z88" s="121"/>
    </row>
    <row r="89" spans="1:26" s="13" customFormat="1">
      <c r="B89" s="3"/>
      <c r="C89" s="43" t="s">
        <v>6</v>
      </c>
      <c r="X89" s="30"/>
      <c r="Z89" s="121"/>
    </row>
    <row r="90" spans="1:26" s="13" customFormat="1">
      <c r="B90" s="3"/>
      <c r="C90" s="13" t="s">
        <v>298</v>
      </c>
      <c r="D90" s="106">
        <f>'rMCZ Studland Bay'!D33</f>
        <v>0.43268324999999996</v>
      </c>
      <c r="E90" s="106">
        <v>0</v>
      </c>
      <c r="F90" s="106">
        <v>0</v>
      </c>
      <c r="G90" s="106">
        <v>0</v>
      </c>
      <c r="H90" s="106">
        <v>0</v>
      </c>
      <c r="I90" s="106">
        <v>0</v>
      </c>
      <c r="J90" s="106">
        <v>0</v>
      </c>
      <c r="K90" s="106">
        <v>0</v>
      </c>
      <c r="L90" s="106">
        <v>0</v>
      </c>
      <c r="M90" s="106">
        <v>0</v>
      </c>
      <c r="N90" s="106">
        <v>0</v>
      </c>
      <c r="O90" s="106">
        <v>0</v>
      </c>
      <c r="P90" s="106">
        <v>0</v>
      </c>
      <c r="Q90" s="106">
        <v>0</v>
      </c>
      <c r="R90" s="106">
        <v>0</v>
      </c>
      <c r="S90" s="106">
        <v>0</v>
      </c>
      <c r="T90" s="106">
        <v>0</v>
      </c>
      <c r="U90" s="106">
        <v>0</v>
      </c>
      <c r="V90" s="106">
        <v>0</v>
      </c>
      <c r="W90" s="106">
        <v>0</v>
      </c>
      <c r="X90" s="189">
        <f>SUM(D90:W90)</f>
        <v>0.43268324999999996</v>
      </c>
      <c r="Y90" s="106">
        <f>X90/20</f>
        <v>2.1634162499999998E-2</v>
      </c>
      <c r="Z90" s="190">
        <f t="shared" ref="Z90" si="42">NPV(3.5%,D90:W90)</f>
        <v>0.41805144927536231</v>
      </c>
    </row>
    <row r="91" spans="1:26" s="13" customFormat="1">
      <c r="B91" s="3"/>
      <c r="C91" s="212" t="s">
        <v>7</v>
      </c>
      <c r="X91" s="30"/>
      <c r="Z91" s="121"/>
    </row>
    <row r="92" spans="1:26" s="13" customFormat="1">
      <c r="B92" s="3"/>
      <c r="C92" s="13" t="s">
        <v>299</v>
      </c>
      <c r="D92" s="106">
        <f>'rMCZ Studland Bay'!$B10</f>
        <v>9.018799999999999E-2</v>
      </c>
      <c r="E92" s="106">
        <f>'rMCZ Studland Bay'!$B10</f>
        <v>9.018799999999999E-2</v>
      </c>
      <c r="F92" s="106">
        <f>'rMCZ Studland Bay'!$B10</f>
        <v>9.018799999999999E-2</v>
      </c>
      <c r="G92" s="106">
        <f>'rMCZ Studland Bay'!$B10</f>
        <v>9.018799999999999E-2</v>
      </c>
      <c r="H92" s="106">
        <f>'rMCZ Studland Bay'!$B10</f>
        <v>9.018799999999999E-2</v>
      </c>
      <c r="I92" s="106">
        <f>'rMCZ Studland Bay'!$B10</f>
        <v>9.018799999999999E-2</v>
      </c>
      <c r="J92" s="106">
        <f>'rMCZ Studland Bay'!$B10</f>
        <v>9.018799999999999E-2</v>
      </c>
      <c r="K92" s="106">
        <f>'rMCZ Studland Bay'!$B10</f>
        <v>9.018799999999999E-2</v>
      </c>
      <c r="L92" s="106">
        <f>'rMCZ Studland Bay'!$B10</f>
        <v>9.018799999999999E-2</v>
      </c>
      <c r="M92" s="106">
        <f>'rMCZ Studland Bay'!$B10</f>
        <v>9.018799999999999E-2</v>
      </c>
      <c r="N92" s="106">
        <f>'rMCZ Studland Bay'!$B10</f>
        <v>9.018799999999999E-2</v>
      </c>
      <c r="O92" s="106">
        <f>'rMCZ Studland Bay'!$B10</f>
        <v>9.018799999999999E-2</v>
      </c>
      <c r="P92" s="106">
        <f>'rMCZ Studland Bay'!$B10</f>
        <v>9.018799999999999E-2</v>
      </c>
      <c r="Q92" s="106">
        <f>'rMCZ Studland Bay'!$B10</f>
        <v>9.018799999999999E-2</v>
      </c>
      <c r="R92" s="106">
        <f>'rMCZ Studland Bay'!$B10</f>
        <v>9.018799999999999E-2</v>
      </c>
      <c r="S92" s="106">
        <f>'rMCZ Studland Bay'!$B10</f>
        <v>9.018799999999999E-2</v>
      </c>
      <c r="T92" s="106">
        <f>'rMCZ Studland Bay'!$B10</f>
        <v>9.018799999999999E-2</v>
      </c>
      <c r="U92" s="106">
        <f>'rMCZ Studland Bay'!$B10</f>
        <v>9.018799999999999E-2</v>
      </c>
      <c r="V92" s="106">
        <f>'rMCZ Studland Bay'!$B10</f>
        <v>9.018799999999999E-2</v>
      </c>
      <c r="W92" s="106">
        <f>'rMCZ Studland Bay'!$B10</f>
        <v>9.018799999999999E-2</v>
      </c>
      <c r="X92" s="189">
        <f>SUM(D92:W92)</f>
        <v>1.8037599999999991</v>
      </c>
      <c r="Y92" s="106">
        <f t="shared" ref="Y92:Y93" si="43">X92/20</f>
        <v>9.0187999999999963E-2</v>
      </c>
      <c r="Z92" s="190">
        <f t="shared" ref="Z92:Z93" si="44">NPV(3.5%,D92:W92)</f>
        <v>1.2817882289964744</v>
      </c>
    </row>
    <row r="93" spans="1:26" s="13" customFormat="1">
      <c r="C93" s="13" t="s">
        <v>300</v>
      </c>
      <c r="D93" s="106">
        <f>'rMCZ RA The Fal'!$D53</f>
        <v>6.7267516249999992E-2</v>
      </c>
      <c r="E93" s="106">
        <f>'rMCZ RA The Fal'!$D53</f>
        <v>6.7267516249999992E-2</v>
      </c>
      <c r="F93" s="106">
        <f>'rMCZ RA The Fal'!$D53</f>
        <v>6.7267516249999992E-2</v>
      </c>
      <c r="G93" s="106">
        <f>'rMCZ RA The Fal'!$D53</f>
        <v>6.7267516249999992E-2</v>
      </c>
      <c r="H93" s="106">
        <f>'rMCZ RA The Fal'!$D53</f>
        <v>6.7267516249999992E-2</v>
      </c>
      <c r="I93" s="106">
        <f>'rMCZ RA The Fal'!$D53</f>
        <v>6.7267516249999992E-2</v>
      </c>
      <c r="J93" s="106">
        <f>'rMCZ RA The Fal'!$D53</f>
        <v>6.7267516249999992E-2</v>
      </c>
      <c r="K93" s="106">
        <f>'rMCZ RA The Fal'!$D53</f>
        <v>6.7267516249999992E-2</v>
      </c>
      <c r="L93" s="106">
        <f>'rMCZ RA The Fal'!$D53</f>
        <v>6.7267516249999992E-2</v>
      </c>
      <c r="M93" s="106">
        <f>'rMCZ RA The Fal'!$D53</f>
        <v>6.7267516249999992E-2</v>
      </c>
      <c r="N93" s="106">
        <f>'rMCZ RA The Fal'!$D53</f>
        <v>6.7267516249999992E-2</v>
      </c>
      <c r="O93" s="106">
        <f>'rMCZ RA The Fal'!$D53</f>
        <v>6.7267516249999992E-2</v>
      </c>
      <c r="P93" s="106">
        <f>'rMCZ RA The Fal'!$D53</f>
        <v>6.7267516249999992E-2</v>
      </c>
      <c r="Q93" s="106">
        <f>'rMCZ RA The Fal'!$D53</f>
        <v>6.7267516249999992E-2</v>
      </c>
      <c r="R93" s="106">
        <f>'rMCZ RA The Fal'!$D53</f>
        <v>6.7267516249999992E-2</v>
      </c>
      <c r="S93" s="106">
        <f>'rMCZ RA The Fal'!$D53</f>
        <v>6.7267516249999992E-2</v>
      </c>
      <c r="T93" s="106">
        <f>'rMCZ RA The Fal'!$D53</f>
        <v>6.7267516249999992E-2</v>
      </c>
      <c r="U93" s="106">
        <f>'rMCZ RA The Fal'!$D53</f>
        <v>6.7267516249999992E-2</v>
      </c>
      <c r="V93" s="106">
        <f>'rMCZ RA The Fal'!$D53</f>
        <v>6.7267516249999992E-2</v>
      </c>
      <c r="W93" s="106">
        <f>'rMCZ RA The Fal'!$D53</f>
        <v>6.7267516249999992E-2</v>
      </c>
      <c r="X93" s="189">
        <f t="shared" ref="X93" si="45">SUM(D93:W93)</f>
        <v>1.3453503250000005</v>
      </c>
      <c r="Y93" s="106">
        <f t="shared" si="43"/>
        <v>6.726751625000002E-2</v>
      </c>
      <c r="Z93" s="190">
        <f t="shared" si="44"/>
        <v>0.95603307006562988</v>
      </c>
    </row>
    <row r="94" spans="1:26" s="13" customFormat="1">
      <c r="C94" s="43"/>
      <c r="X94" s="30"/>
      <c r="Z94" s="121"/>
    </row>
    <row r="95" spans="1:26" s="13" customFormat="1">
      <c r="B95" s="3"/>
      <c r="C95" s="13" t="s">
        <v>9</v>
      </c>
      <c r="D95" s="106">
        <f>D90</f>
        <v>0.43268324999999996</v>
      </c>
      <c r="E95" s="106">
        <f t="shared" ref="E95:W95" si="46">E90</f>
        <v>0</v>
      </c>
      <c r="F95" s="106">
        <f t="shared" si="46"/>
        <v>0</v>
      </c>
      <c r="G95" s="106">
        <f t="shared" si="46"/>
        <v>0</v>
      </c>
      <c r="H95" s="106">
        <f t="shared" si="46"/>
        <v>0</v>
      </c>
      <c r="I95" s="106">
        <f t="shared" si="46"/>
        <v>0</v>
      </c>
      <c r="J95" s="106">
        <f t="shared" si="46"/>
        <v>0</v>
      </c>
      <c r="K95" s="106">
        <f t="shared" si="46"/>
        <v>0</v>
      </c>
      <c r="L95" s="106">
        <f t="shared" si="46"/>
        <v>0</v>
      </c>
      <c r="M95" s="106">
        <f t="shared" si="46"/>
        <v>0</v>
      </c>
      <c r="N95" s="106">
        <f t="shared" si="46"/>
        <v>0</v>
      </c>
      <c r="O95" s="106">
        <f t="shared" si="46"/>
        <v>0</v>
      </c>
      <c r="P95" s="106">
        <f t="shared" si="46"/>
        <v>0</v>
      </c>
      <c r="Q95" s="106">
        <f t="shared" si="46"/>
        <v>0</v>
      </c>
      <c r="R95" s="106">
        <f t="shared" si="46"/>
        <v>0</v>
      </c>
      <c r="S95" s="106">
        <f t="shared" si="46"/>
        <v>0</v>
      </c>
      <c r="T95" s="106">
        <f t="shared" si="46"/>
        <v>0</v>
      </c>
      <c r="U95" s="106">
        <f t="shared" si="46"/>
        <v>0</v>
      </c>
      <c r="V95" s="106">
        <f t="shared" si="46"/>
        <v>0</v>
      </c>
      <c r="W95" s="106">
        <f t="shared" si="46"/>
        <v>0</v>
      </c>
      <c r="X95" s="189">
        <f>SUM(D95:W95)</f>
        <v>0.43268324999999996</v>
      </c>
      <c r="Y95" s="106">
        <f>X95/20</f>
        <v>2.1634162499999998E-2</v>
      </c>
      <c r="Z95" s="190">
        <f t="shared" ref="Z95:Z97" si="47">NPV(3.5%,D95:W95)</f>
        <v>0.41805144927536231</v>
      </c>
    </row>
    <row r="96" spans="1:26" s="13" customFormat="1">
      <c r="C96" s="13" t="s">
        <v>10</v>
      </c>
      <c r="D96" s="106">
        <f>D92+D93</f>
        <v>0.15745551624999998</v>
      </c>
      <c r="E96" s="106">
        <f t="shared" ref="E96:W96" si="48">E92+E93</f>
        <v>0.15745551624999998</v>
      </c>
      <c r="F96" s="106">
        <f t="shared" si="48"/>
        <v>0.15745551624999998</v>
      </c>
      <c r="G96" s="106">
        <f t="shared" si="48"/>
        <v>0.15745551624999998</v>
      </c>
      <c r="H96" s="106">
        <f t="shared" si="48"/>
        <v>0.15745551624999998</v>
      </c>
      <c r="I96" s="106">
        <f t="shared" si="48"/>
        <v>0.15745551624999998</v>
      </c>
      <c r="J96" s="106">
        <f t="shared" si="48"/>
        <v>0.15745551624999998</v>
      </c>
      <c r="K96" s="106">
        <f t="shared" si="48"/>
        <v>0.15745551624999998</v>
      </c>
      <c r="L96" s="106">
        <f t="shared" si="48"/>
        <v>0.15745551624999998</v>
      </c>
      <c r="M96" s="106">
        <f t="shared" si="48"/>
        <v>0.15745551624999998</v>
      </c>
      <c r="N96" s="106">
        <f t="shared" si="48"/>
        <v>0.15745551624999998</v>
      </c>
      <c r="O96" s="106">
        <f t="shared" si="48"/>
        <v>0.15745551624999998</v>
      </c>
      <c r="P96" s="106">
        <f t="shared" si="48"/>
        <v>0.15745551624999998</v>
      </c>
      <c r="Q96" s="106">
        <f t="shared" si="48"/>
        <v>0.15745551624999998</v>
      </c>
      <c r="R96" s="106">
        <f t="shared" si="48"/>
        <v>0.15745551624999998</v>
      </c>
      <c r="S96" s="106">
        <f t="shared" si="48"/>
        <v>0.15745551624999998</v>
      </c>
      <c r="T96" s="106">
        <f t="shared" si="48"/>
        <v>0.15745551624999998</v>
      </c>
      <c r="U96" s="106">
        <f t="shared" si="48"/>
        <v>0.15745551624999998</v>
      </c>
      <c r="V96" s="106">
        <f t="shared" si="48"/>
        <v>0.15745551624999998</v>
      </c>
      <c r="W96" s="106">
        <f t="shared" si="48"/>
        <v>0.15745551624999998</v>
      </c>
      <c r="X96" s="189">
        <f>SUM(D96:W96)</f>
        <v>3.1491103249999979</v>
      </c>
      <c r="Y96" s="106">
        <f>X96/20</f>
        <v>0.1574555162499999</v>
      </c>
      <c r="Z96" s="190">
        <f t="shared" si="47"/>
        <v>2.2378212990621043</v>
      </c>
    </row>
    <row r="97" spans="1:33" s="3" customFormat="1">
      <c r="C97" s="3" t="s">
        <v>8</v>
      </c>
      <c r="D97" s="140">
        <f>D95+D96</f>
        <v>0.59013876624999995</v>
      </c>
      <c r="E97" s="140">
        <f t="shared" ref="E97:W97" si="49">E95+E96</f>
        <v>0.15745551624999998</v>
      </c>
      <c r="F97" s="140">
        <f t="shared" si="49"/>
        <v>0.15745551624999998</v>
      </c>
      <c r="G97" s="140">
        <f t="shared" si="49"/>
        <v>0.15745551624999998</v>
      </c>
      <c r="H97" s="140">
        <f t="shared" si="49"/>
        <v>0.15745551624999998</v>
      </c>
      <c r="I97" s="140">
        <f t="shared" si="49"/>
        <v>0.15745551624999998</v>
      </c>
      <c r="J97" s="140">
        <f t="shared" si="49"/>
        <v>0.15745551624999998</v>
      </c>
      <c r="K97" s="140">
        <f t="shared" si="49"/>
        <v>0.15745551624999998</v>
      </c>
      <c r="L97" s="140">
        <f t="shared" si="49"/>
        <v>0.15745551624999998</v>
      </c>
      <c r="M97" s="140">
        <f t="shared" si="49"/>
        <v>0.15745551624999998</v>
      </c>
      <c r="N97" s="140">
        <f t="shared" si="49"/>
        <v>0.15745551624999998</v>
      </c>
      <c r="O97" s="140">
        <f t="shared" si="49"/>
        <v>0.15745551624999998</v>
      </c>
      <c r="P97" s="140">
        <f t="shared" si="49"/>
        <v>0.15745551624999998</v>
      </c>
      <c r="Q97" s="140">
        <f t="shared" si="49"/>
        <v>0.15745551624999998</v>
      </c>
      <c r="R97" s="140">
        <f t="shared" si="49"/>
        <v>0.15745551624999998</v>
      </c>
      <c r="S97" s="140">
        <f t="shared" si="49"/>
        <v>0.15745551624999998</v>
      </c>
      <c r="T97" s="140">
        <f t="shared" si="49"/>
        <v>0.15745551624999998</v>
      </c>
      <c r="U97" s="140">
        <f t="shared" si="49"/>
        <v>0.15745551624999998</v>
      </c>
      <c r="V97" s="140">
        <f t="shared" si="49"/>
        <v>0.15745551624999998</v>
      </c>
      <c r="W97" s="140">
        <f t="shared" si="49"/>
        <v>0.15745551624999998</v>
      </c>
      <c r="X97" s="205">
        <f>SUM(D97:W97)</f>
        <v>3.5817935749999972</v>
      </c>
      <c r="Y97" s="140">
        <f>X97/20</f>
        <v>0.17908967874999987</v>
      </c>
      <c r="Z97" s="208">
        <f t="shared" si="47"/>
        <v>2.6558727483374671</v>
      </c>
    </row>
    <row r="98" spans="1:33" s="13" customFormat="1">
      <c r="C98" s="3" t="s">
        <v>205</v>
      </c>
      <c r="X98" s="205">
        <f>NPV(3.5%,D97:W97)</f>
        <v>2.6558727483374671</v>
      </c>
      <c r="Y98" s="204" t="s">
        <v>11</v>
      </c>
      <c r="Z98" s="121"/>
    </row>
    <row r="99" spans="1:33" s="13" customFormat="1">
      <c r="A99" s="15"/>
      <c r="B99" s="15"/>
      <c r="C99" s="89"/>
      <c r="D99" s="15"/>
      <c r="E99" s="15"/>
      <c r="F99" s="15"/>
      <c r="G99" s="15"/>
      <c r="H99" s="15"/>
      <c r="I99" s="15"/>
      <c r="J99" s="15"/>
      <c r="K99" s="15"/>
      <c r="L99" s="15"/>
      <c r="M99" s="15"/>
      <c r="N99" s="15"/>
      <c r="O99" s="15"/>
      <c r="P99" s="15"/>
      <c r="Q99" s="15"/>
      <c r="R99" s="15"/>
      <c r="S99" s="15"/>
      <c r="T99" s="15"/>
      <c r="U99" s="15"/>
      <c r="V99" s="15"/>
      <c r="W99" s="15"/>
      <c r="X99" s="211"/>
      <c r="Y99" s="210"/>
      <c r="Z99" s="187"/>
    </row>
    <row r="100" spans="1:33" s="13" customFormat="1">
      <c r="B100" s="3" t="s">
        <v>301</v>
      </c>
      <c r="X100" s="30"/>
      <c r="Z100" s="121"/>
    </row>
    <row r="101" spans="1:33" s="13" customFormat="1">
      <c r="C101" s="43" t="s">
        <v>6</v>
      </c>
      <c r="X101" s="30"/>
      <c r="Z101" s="121"/>
    </row>
    <row r="102" spans="1:33" s="13" customFormat="1">
      <c r="C102" s="13" t="s">
        <v>200</v>
      </c>
      <c r="D102" s="106">
        <f>D65+D66+D67+D68+D90</f>
        <v>2.9869583249999998</v>
      </c>
      <c r="E102" s="106">
        <v>0</v>
      </c>
      <c r="F102" s="106">
        <v>0</v>
      </c>
      <c r="G102" s="106">
        <v>0</v>
      </c>
      <c r="H102" s="106">
        <v>0</v>
      </c>
      <c r="I102" s="106">
        <v>0</v>
      </c>
      <c r="J102" s="106">
        <v>0</v>
      </c>
      <c r="K102" s="106">
        <v>0</v>
      </c>
      <c r="L102" s="106">
        <v>0</v>
      </c>
      <c r="M102" s="106">
        <v>0</v>
      </c>
      <c r="N102" s="106">
        <v>0</v>
      </c>
      <c r="O102" s="106">
        <v>0</v>
      </c>
      <c r="P102" s="106">
        <v>0</v>
      </c>
      <c r="Q102" s="106">
        <v>0</v>
      </c>
      <c r="R102" s="106">
        <v>0</v>
      </c>
      <c r="S102" s="106">
        <v>0</v>
      </c>
      <c r="T102" s="106">
        <v>0</v>
      </c>
      <c r="U102" s="106">
        <v>0</v>
      </c>
      <c r="V102" s="106">
        <v>0</v>
      </c>
      <c r="W102" s="106">
        <v>0</v>
      </c>
      <c r="X102" s="189">
        <f>SUM(D102:W102)</f>
        <v>2.9869583249999998</v>
      </c>
      <c r="Y102" s="106">
        <f>X102/20</f>
        <v>0.14934791624999999</v>
      </c>
      <c r="Z102" s="190">
        <f t="shared" ref="Z102" si="50">NPV(3.5%,D102:W102)</f>
        <v>2.8859500724637681</v>
      </c>
    </row>
    <row r="103" spans="1:33" s="13" customFormat="1">
      <c r="C103" s="212" t="s">
        <v>7</v>
      </c>
      <c r="X103" s="30"/>
      <c r="Z103" s="121"/>
    </row>
    <row r="104" spans="1:33" s="13" customFormat="1">
      <c r="C104" s="13" t="s">
        <v>201</v>
      </c>
      <c r="D104" s="106">
        <f>D76+D77+D78+D79+D80+D81</f>
        <v>0.65823500000000001</v>
      </c>
      <c r="E104" s="106">
        <f t="shared" ref="E104:W104" si="51">E76+E77+E78+E79+E80+E81</f>
        <v>0.65823500000000001</v>
      </c>
      <c r="F104" s="106">
        <f t="shared" si="51"/>
        <v>0.65823500000000001</v>
      </c>
      <c r="G104" s="106">
        <f t="shared" si="51"/>
        <v>0.65823500000000001</v>
      </c>
      <c r="H104" s="106">
        <f t="shared" si="51"/>
        <v>0.65823500000000001</v>
      </c>
      <c r="I104" s="106">
        <f t="shared" si="51"/>
        <v>0.65823500000000001</v>
      </c>
      <c r="J104" s="106">
        <f t="shared" si="51"/>
        <v>0.65823500000000001</v>
      </c>
      <c r="K104" s="106">
        <f t="shared" si="51"/>
        <v>0.65823500000000001</v>
      </c>
      <c r="L104" s="106">
        <f t="shared" si="51"/>
        <v>0.65823500000000001</v>
      </c>
      <c r="M104" s="106">
        <f t="shared" si="51"/>
        <v>0.65823500000000001</v>
      </c>
      <c r="N104" s="106">
        <f t="shared" si="51"/>
        <v>0.65823500000000001</v>
      </c>
      <c r="O104" s="106">
        <f t="shared" si="51"/>
        <v>0.65823500000000001</v>
      </c>
      <c r="P104" s="106">
        <f t="shared" si="51"/>
        <v>0.65823500000000001</v>
      </c>
      <c r="Q104" s="106">
        <f t="shared" si="51"/>
        <v>0.65823500000000001</v>
      </c>
      <c r="R104" s="106">
        <f t="shared" si="51"/>
        <v>0.65823500000000001</v>
      </c>
      <c r="S104" s="106">
        <f t="shared" si="51"/>
        <v>0.65823500000000001</v>
      </c>
      <c r="T104" s="106">
        <f t="shared" si="51"/>
        <v>0.65823500000000001</v>
      </c>
      <c r="U104" s="106">
        <f t="shared" si="51"/>
        <v>0.65823500000000001</v>
      </c>
      <c r="V104" s="106">
        <f t="shared" si="51"/>
        <v>0.65823500000000001</v>
      </c>
      <c r="W104" s="106">
        <f t="shared" si="51"/>
        <v>0.65823500000000001</v>
      </c>
      <c r="X104" s="189">
        <f>SUM(D104:W104)</f>
        <v>13.164699999999998</v>
      </c>
      <c r="Y104" s="106">
        <f>X104/20</f>
        <v>0.6582349999999999</v>
      </c>
      <c r="Z104" s="190">
        <f t="shared" ref="Z104:Z106" si="52">NPV(3.5%,D104:W104)</f>
        <v>9.3551012874605739</v>
      </c>
    </row>
    <row r="105" spans="1:33" s="13" customFormat="1">
      <c r="C105" s="13" t="s">
        <v>202</v>
      </c>
      <c r="D105" s="106">
        <f t="shared" ref="D105:W105" si="53">D71+D72+D73+D74+D92</f>
        <v>0.69997409999999993</v>
      </c>
      <c r="E105" s="106">
        <f t="shared" si="53"/>
        <v>0.69997409999999993</v>
      </c>
      <c r="F105" s="106">
        <f t="shared" si="53"/>
        <v>0.69997409999999993</v>
      </c>
      <c r="G105" s="106">
        <f t="shared" si="53"/>
        <v>0.69997409999999993</v>
      </c>
      <c r="H105" s="106">
        <f t="shared" si="53"/>
        <v>0.69997409999999993</v>
      </c>
      <c r="I105" s="106">
        <f t="shared" si="53"/>
        <v>0.69997409999999993</v>
      </c>
      <c r="J105" s="106">
        <f t="shared" si="53"/>
        <v>0.69997409999999993</v>
      </c>
      <c r="K105" s="106">
        <f t="shared" si="53"/>
        <v>0.69997409999999993</v>
      </c>
      <c r="L105" s="106">
        <f t="shared" si="53"/>
        <v>0.69997409999999993</v>
      </c>
      <c r="M105" s="106">
        <f t="shared" si="53"/>
        <v>0.69997409999999993</v>
      </c>
      <c r="N105" s="106">
        <f t="shared" si="53"/>
        <v>0.69997409999999993</v>
      </c>
      <c r="O105" s="106">
        <f t="shared" si="53"/>
        <v>0.69997409999999993</v>
      </c>
      <c r="P105" s="106">
        <f t="shared" si="53"/>
        <v>0.69997409999999993</v>
      </c>
      <c r="Q105" s="106">
        <f t="shared" si="53"/>
        <v>0.69997409999999993</v>
      </c>
      <c r="R105" s="106">
        <f t="shared" si="53"/>
        <v>0.69997409999999993</v>
      </c>
      <c r="S105" s="106">
        <f t="shared" si="53"/>
        <v>0.69997409999999993</v>
      </c>
      <c r="T105" s="106">
        <f t="shared" si="53"/>
        <v>0.69997409999999993</v>
      </c>
      <c r="U105" s="106">
        <f t="shared" si="53"/>
        <v>0.69997409999999993</v>
      </c>
      <c r="V105" s="106">
        <f t="shared" si="53"/>
        <v>0.69997409999999993</v>
      </c>
      <c r="W105" s="106">
        <f t="shared" si="53"/>
        <v>0.69997409999999993</v>
      </c>
      <c r="X105" s="189">
        <f>SUM(D105:W105)</f>
        <v>13.999482000000004</v>
      </c>
      <c r="Y105" s="106">
        <f t="shared" ref="Y105" si="54">X105/20</f>
        <v>0.69997410000000015</v>
      </c>
      <c r="Z105" s="190">
        <f t="shared" si="52"/>
        <v>9.9483142101210884</v>
      </c>
    </row>
    <row r="106" spans="1:33" s="13" customFormat="1">
      <c r="C106" s="13" t="s">
        <v>203</v>
      </c>
      <c r="D106" s="106">
        <f>D93</f>
        <v>6.7267516249999992E-2</v>
      </c>
      <c r="E106" s="106">
        <f t="shared" ref="E106:W106" si="55">E93</f>
        <v>6.7267516249999992E-2</v>
      </c>
      <c r="F106" s="106">
        <f t="shared" si="55"/>
        <v>6.7267516249999992E-2</v>
      </c>
      <c r="G106" s="106">
        <f t="shared" si="55"/>
        <v>6.7267516249999992E-2</v>
      </c>
      <c r="H106" s="106">
        <f t="shared" si="55"/>
        <v>6.7267516249999992E-2</v>
      </c>
      <c r="I106" s="106">
        <f t="shared" si="55"/>
        <v>6.7267516249999992E-2</v>
      </c>
      <c r="J106" s="106">
        <f t="shared" si="55"/>
        <v>6.7267516249999992E-2</v>
      </c>
      <c r="K106" s="106">
        <f t="shared" si="55"/>
        <v>6.7267516249999992E-2</v>
      </c>
      <c r="L106" s="106">
        <f t="shared" si="55"/>
        <v>6.7267516249999992E-2</v>
      </c>
      <c r="M106" s="106">
        <f t="shared" si="55"/>
        <v>6.7267516249999992E-2</v>
      </c>
      <c r="N106" s="106">
        <f t="shared" si="55"/>
        <v>6.7267516249999992E-2</v>
      </c>
      <c r="O106" s="106">
        <f t="shared" si="55"/>
        <v>6.7267516249999992E-2</v>
      </c>
      <c r="P106" s="106">
        <f t="shared" si="55"/>
        <v>6.7267516249999992E-2</v>
      </c>
      <c r="Q106" s="106">
        <f t="shared" si="55"/>
        <v>6.7267516249999992E-2</v>
      </c>
      <c r="R106" s="106">
        <f t="shared" si="55"/>
        <v>6.7267516249999992E-2</v>
      </c>
      <c r="S106" s="106">
        <f t="shared" si="55"/>
        <v>6.7267516249999992E-2</v>
      </c>
      <c r="T106" s="106">
        <f t="shared" si="55"/>
        <v>6.7267516249999992E-2</v>
      </c>
      <c r="U106" s="106">
        <f t="shared" si="55"/>
        <v>6.7267516249999992E-2</v>
      </c>
      <c r="V106" s="106">
        <f t="shared" si="55"/>
        <v>6.7267516249999992E-2</v>
      </c>
      <c r="W106" s="106">
        <f t="shared" si="55"/>
        <v>6.7267516249999992E-2</v>
      </c>
      <c r="X106" s="189">
        <f>SUM(D106:W106)</f>
        <v>1.3453503250000005</v>
      </c>
      <c r="Y106" s="106">
        <f t="shared" ref="Y106" si="56">X106/20</f>
        <v>6.726751625000002E-2</v>
      </c>
      <c r="Z106" s="190">
        <f t="shared" si="52"/>
        <v>0.95603307006562988</v>
      </c>
    </row>
    <row r="107" spans="1:33" s="13" customFormat="1">
      <c r="C107" s="43"/>
      <c r="X107" s="30"/>
      <c r="Z107" s="121"/>
    </row>
    <row r="108" spans="1:33" s="13" customFormat="1">
      <c r="C108" s="13" t="s">
        <v>9</v>
      </c>
      <c r="D108" s="106">
        <f>D102</f>
        <v>2.9869583249999998</v>
      </c>
      <c r="E108" s="106">
        <f t="shared" ref="E108:W108" si="57">E102</f>
        <v>0</v>
      </c>
      <c r="F108" s="106">
        <f t="shared" si="57"/>
        <v>0</v>
      </c>
      <c r="G108" s="106">
        <f t="shared" si="57"/>
        <v>0</v>
      </c>
      <c r="H108" s="106">
        <f t="shared" si="57"/>
        <v>0</v>
      </c>
      <c r="I108" s="106">
        <f t="shared" si="57"/>
        <v>0</v>
      </c>
      <c r="J108" s="106">
        <f t="shared" si="57"/>
        <v>0</v>
      </c>
      <c r="K108" s="106">
        <f t="shared" si="57"/>
        <v>0</v>
      </c>
      <c r="L108" s="106">
        <f t="shared" si="57"/>
        <v>0</v>
      </c>
      <c r="M108" s="106">
        <f t="shared" si="57"/>
        <v>0</v>
      </c>
      <c r="N108" s="106">
        <f t="shared" si="57"/>
        <v>0</v>
      </c>
      <c r="O108" s="106">
        <f t="shared" si="57"/>
        <v>0</v>
      </c>
      <c r="P108" s="106">
        <f t="shared" si="57"/>
        <v>0</v>
      </c>
      <c r="Q108" s="106">
        <f t="shared" si="57"/>
        <v>0</v>
      </c>
      <c r="R108" s="106">
        <f t="shared" si="57"/>
        <v>0</v>
      </c>
      <c r="S108" s="106">
        <f t="shared" si="57"/>
        <v>0</v>
      </c>
      <c r="T108" s="106">
        <f t="shared" si="57"/>
        <v>0</v>
      </c>
      <c r="U108" s="106">
        <f t="shared" si="57"/>
        <v>0</v>
      </c>
      <c r="V108" s="106">
        <f t="shared" si="57"/>
        <v>0</v>
      </c>
      <c r="W108" s="106">
        <f t="shared" si="57"/>
        <v>0</v>
      </c>
      <c r="X108" s="189">
        <f>SUM(D108:W108)</f>
        <v>2.9869583249999998</v>
      </c>
      <c r="Y108" s="106">
        <f>X108/20</f>
        <v>0.14934791624999999</v>
      </c>
      <c r="Z108" s="190">
        <f t="shared" ref="Z108:Z110" si="58">NPV(3.5%,D108:W108)</f>
        <v>2.8859500724637681</v>
      </c>
    </row>
    <row r="109" spans="1:33" s="13" customFormat="1">
      <c r="C109" s="13" t="s">
        <v>10</v>
      </c>
      <c r="D109" s="106">
        <f>D105+D104+D106</f>
        <v>1.4254766162499999</v>
      </c>
      <c r="E109" s="106">
        <f t="shared" ref="E109:W109" si="59">E105+E104+E106</f>
        <v>1.4254766162499999</v>
      </c>
      <c r="F109" s="106">
        <f t="shared" si="59"/>
        <v>1.4254766162499999</v>
      </c>
      <c r="G109" s="106">
        <f t="shared" si="59"/>
        <v>1.4254766162499999</v>
      </c>
      <c r="H109" s="106">
        <f t="shared" si="59"/>
        <v>1.4254766162499999</v>
      </c>
      <c r="I109" s="106">
        <f t="shared" si="59"/>
        <v>1.4254766162499999</v>
      </c>
      <c r="J109" s="106">
        <f t="shared" si="59"/>
        <v>1.4254766162499999</v>
      </c>
      <c r="K109" s="106">
        <f t="shared" si="59"/>
        <v>1.4254766162499999</v>
      </c>
      <c r="L109" s="106">
        <f t="shared" si="59"/>
        <v>1.4254766162499999</v>
      </c>
      <c r="M109" s="106">
        <f t="shared" si="59"/>
        <v>1.4254766162499999</v>
      </c>
      <c r="N109" s="106">
        <f t="shared" si="59"/>
        <v>1.4254766162499999</v>
      </c>
      <c r="O109" s="106">
        <f t="shared" si="59"/>
        <v>1.4254766162499999</v>
      </c>
      <c r="P109" s="106">
        <f t="shared" si="59"/>
        <v>1.4254766162499999</v>
      </c>
      <c r="Q109" s="106">
        <f t="shared" si="59"/>
        <v>1.4254766162499999</v>
      </c>
      <c r="R109" s="106">
        <f t="shared" si="59"/>
        <v>1.4254766162499999</v>
      </c>
      <c r="S109" s="106">
        <f t="shared" si="59"/>
        <v>1.4254766162499999</v>
      </c>
      <c r="T109" s="106">
        <f t="shared" si="59"/>
        <v>1.4254766162499999</v>
      </c>
      <c r="U109" s="106">
        <f t="shared" si="59"/>
        <v>1.4254766162499999</v>
      </c>
      <c r="V109" s="106">
        <f t="shared" si="59"/>
        <v>1.4254766162499999</v>
      </c>
      <c r="W109" s="106">
        <f t="shared" si="59"/>
        <v>1.4254766162499999</v>
      </c>
      <c r="X109" s="189">
        <f>SUM(D109:W109)</f>
        <v>28.509532324999984</v>
      </c>
      <c r="Y109" s="106">
        <f>X109/20</f>
        <v>1.4254766162499992</v>
      </c>
      <c r="Z109" s="190">
        <f t="shared" si="58"/>
        <v>20.259448567647294</v>
      </c>
    </row>
    <row r="110" spans="1:33" s="13" customFormat="1">
      <c r="A110" s="3"/>
      <c r="B110" s="3"/>
      <c r="C110" s="3" t="s">
        <v>8</v>
      </c>
      <c r="D110" s="140">
        <f>D108+D109</f>
        <v>4.4124349412499999</v>
      </c>
      <c r="E110" s="140">
        <f t="shared" ref="E110" si="60">E108+E109</f>
        <v>1.4254766162499999</v>
      </c>
      <c r="F110" s="140">
        <f t="shared" ref="F110" si="61">F108+F109</f>
        <v>1.4254766162499999</v>
      </c>
      <c r="G110" s="140">
        <f t="shared" ref="G110" si="62">G108+G109</f>
        <v>1.4254766162499999</v>
      </c>
      <c r="H110" s="140">
        <f t="shared" ref="H110" si="63">H108+H109</f>
        <v>1.4254766162499999</v>
      </c>
      <c r="I110" s="140">
        <f t="shared" ref="I110" si="64">I108+I109</f>
        <v>1.4254766162499999</v>
      </c>
      <c r="J110" s="140">
        <f t="shared" ref="J110" si="65">J108+J109</f>
        <v>1.4254766162499999</v>
      </c>
      <c r="K110" s="140">
        <f t="shared" ref="K110" si="66">K108+K109</f>
        <v>1.4254766162499999</v>
      </c>
      <c r="L110" s="140">
        <f t="shared" ref="L110" si="67">L108+L109</f>
        <v>1.4254766162499999</v>
      </c>
      <c r="M110" s="140">
        <f t="shared" ref="M110" si="68">M108+M109</f>
        <v>1.4254766162499999</v>
      </c>
      <c r="N110" s="140">
        <f t="shared" ref="N110" si="69">N108+N109</f>
        <v>1.4254766162499999</v>
      </c>
      <c r="O110" s="140">
        <f t="shared" ref="O110" si="70">O108+O109</f>
        <v>1.4254766162499999</v>
      </c>
      <c r="P110" s="140">
        <f t="shared" ref="P110" si="71">P108+P109</f>
        <v>1.4254766162499999</v>
      </c>
      <c r="Q110" s="140">
        <f t="shared" ref="Q110" si="72">Q108+Q109</f>
        <v>1.4254766162499999</v>
      </c>
      <c r="R110" s="140">
        <f t="shared" ref="R110" si="73">R108+R109</f>
        <v>1.4254766162499999</v>
      </c>
      <c r="S110" s="140">
        <f t="shared" ref="S110" si="74">S108+S109</f>
        <v>1.4254766162499999</v>
      </c>
      <c r="T110" s="140">
        <f t="shared" ref="T110" si="75">T108+T109</f>
        <v>1.4254766162499999</v>
      </c>
      <c r="U110" s="140">
        <f t="shared" ref="U110" si="76">U108+U109</f>
        <v>1.4254766162499999</v>
      </c>
      <c r="V110" s="140">
        <f t="shared" ref="V110" si="77">V108+V109</f>
        <v>1.4254766162499999</v>
      </c>
      <c r="W110" s="140">
        <f t="shared" ref="W110" si="78">W108+W109</f>
        <v>1.4254766162499999</v>
      </c>
      <c r="X110" s="205">
        <f>SUM(D110:W110)</f>
        <v>31.496490649999984</v>
      </c>
      <c r="Y110" s="140">
        <f>X110/20</f>
        <v>1.5748245324999992</v>
      </c>
      <c r="Z110" s="208">
        <f t="shared" si="58"/>
        <v>23.145398640111058</v>
      </c>
    </row>
    <row r="111" spans="1:33" s="13" customFormat="1">
      <c r="C111" s="3" t="s">
        <v>205</v>
      </c>
      <c r="X111" s="205">
        <f>NPV(3.5%,D110:W110)</f>
        <v>23.145398640111058</v>
      </c>
      <c r="Y111" s="204" t="s">
        <v>11</v>
      </c>
      <c r="Z111" s="121"/>
      <c r="AA111" s="30"/>
    </row>
    <row r="112" spans="1:3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33"/>
      <c r="Y112" s="15"/>
      <c r="Z112" s="187"/>
      <c r="AA112" s="13"/>
      <c r="AB112" s="13"/>
      <c r="AC112" s="13"/>
      <c r="AD112" s="13"/>
      <c r="AE112" s="13"/>
      <c r="AF112" s="13"/>
      <c r="AG112" s="13"/>
    </row>
    <row r="113" spans="1:3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row>
    <row r="114" spans="1:33">
      <c r="Y114" s="13"/>
      <c r="Z114" s="13"/>
      <c r="AA114" s="13"/>
    </row>
    <row r="115" spans="1:33" ht="30.75" customHeight="1">
      <c r="A115" s="217" t="s">
        <v>322</v>
      </c>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9"/>
      <c r="AA115" s="13"/>
    </row>
    <row r="116" spans="1:33">
      <c r="A116" s="197"/>
      <c r="B116" s="182"/>
      <c r="C116" s="183" t="s">
        <v>4</v>
      </c>
      <c r="D116" s="198">
        <v>2013</v>
      </c>
      <c r="E116" s="198">
        <v>2014</v>
      </c>
      <c r="F116" s="198">
        <v>2015</v>
      </c>
      <c r="G116" s="198">
        <v>2016</v>
      </c>
      <c r="H116" s="198">
        <v>2017</v>
      </c>
      <c r="I116" s="198">
        <v>2018</v>
      </c>
      <c r="J116" s="198">
        <v>2019</v>
      </c>
      <c r="K116" s="198">
        <v>2020</v>
      </c>
      <c r="L116" s="198">
        <v>2021</v>
      </c>
      <c r="M116" s="198">
        <v>2022</v>
      </c>
      <c r="N116" s="198">
        <v>2023</v>
      </c>
      <c r="O116" s="198">
        <v>2024</v>
      </c>
      <c r="P116" s="198">
        <v>2025</v>
      </c>
      <c r="Q116" s="198">
        <v>2026</v>
      </c>
      <c r="R116" s="198">
        <v>2027</v>
      </c>
      <c r="S116" s="198">
        <v>2028</v>
      </c>
      <c r="T116" s="198">
        <v>2029</v>
      </c>
      <c r="U116" s="198">
        <v>2030</v>
      </c>
      <c r="V116" s="198">
        <v>2031</v>
      </c>
      <c r="W116" s="198">
        <v>2032</v>
      </c>
      <c r="X116" s="225" t="s">
        <v>5</v>
      </c>
      <c r="Y116" s="227" t="s">
        <v>317</v>
      </c>
      <c r="Z116" s="223" t="s">
        <v>238</v>
      </c>
    </row>
    <row r="117" spans="1:33">
      <c r="A117" s="128"/>
      <c r="B117" s="199"/>
      <c r="C117" s="130" t="s">
        <v>321</v>
      </c>
      <c r="D117" s="200">
        <v>1</v>
      </c>
      <c r="E117" s="200">
        <v>2</v>
      </c>
      <c r="F117" s="200">
        <v>3</v>
      </c>
      <c r="G117" s="200">
        <v>4</v>
      </c>
      <c r="H117" s="200">
        <v>5</v>
      </c>
      <c r="I117" s="200">
        <v>6</v>
      </c>
      <c r="J117" s="200">
        <v>7</v>
      </c>
      <c r="K117" s="200">
        <v>8</v>
      </c>
      <c r="L117" s="200">
        <v>9</v>
      </c>
      <c r="M117" s="200">
        <v>10</v>
      </c>
      <c r="N117" s="200">
        <v>11</v>
      </c>
      <c r="O117" s="200">
        <v>12</v>
      </c>
      <c r="P117" s="200">
        <v>13</v>
      </c>
      <c r="Q117" s="200">
        <v>14</v>
      </c>
      <c r="R117" s="200">
        <v>15</v>
      </c>
      <c r="S117" s="200">
        <v>16</v>
      </c>
      <c r="T117" s="200">
        <v>17</v>
      </c>
      <c r="U117" s="200">
        <v>18</v>
      </c>
      <c r="V117" s="200">
        <v>19</v>
      </c>
      <c r="W117" s="200">
        <v>20</v>
      </c>
      <c r="X117" s="226"/>
      <c r="Y117" s="228"/>
      <c r="Z117" s="224"/>
    </row>
    <row r="118" spans="1:33" ht="23.25" customHeight="1">
      <c r="A118" s="217" t="s">
        <v>243</v>
      </c>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9"/>
      <c r="AA118" s="13"/>
    </row>
    <row r="119" spans="1:33">
      <c r="B119" s="1" t="s">
        <v>297</v>
      </c>
      <c r="Y119" s="13"/>
      <c r="Z119" s="13"/>
      <c r="AA119" s="13"/>
    </row>
    <row r="120" spans="1:33">
      <c r="C120" s="16" t="s">
        <v>313</v>
      </c>
      <c r="D120" s="193">
        <f t="shared" ref="D120:F120" si="79">D14+D20</f>
        <v>0</v>
      </c>
      <c r="E120" s="193">
        <f t="shared" si="79"/>
        <v>0</v>
      </c>
      <c r="F120" s="193">
        <f t="shared" si="79"/>
        <v>0</v>
      </c>
      <c r="G120" s="193">
        <f>G14+G20</f>
        <v>0</v>
      </c>
      <c r="H120" s="193">
        <f t="shared" ref="H120:W120" si="80">H14+H20</f>
        <v>0</v>
      </c>
      <c r="I120" s="193">
        <f t="shared" si="80"/>
        <v>0</v>
      </c>
      <c r="J120" s="193">
        <f t="shared" si="80"/>
        <v>0</v>
      </c>
      <c r="K120" s="193">
        <f t="shared" si="80"/>
        <v>0</v>
      </c>
      <c r="L120" s="193">
        <f t="shared" si="80"/>
        <v>0</v>
      </c>
      <c r="M120" s="193">
        <f t="shared" si="80"/>
        <v>0</v>
      </c>
      <c r="N120" s="193">
        <f t="shared" si="80"/>
        <v>0</v>
      </c>
      <c r="O120" s="193">
        <f t="shared" si="80"/>
        <v>0</v>
      </c>
      <c r="P120" s="193">
        <f t="shared" si="80"/>
        <v>0</v>
      </c>
      <c r="Q120" s="193">
        <f t="shared" si="80"/>
        <v>0</v>
      </c>
      <c r="R120" s="193">
        <f t="shared" si="80"/>
        <v>0</v>
      </c>
      <c r="S120" s="193">
        <f t="shared" si="80"/>
        <v>0</v>
      </c>
      <c r="T120" s="193">
        <f t="shared" si="80"/>
        <v>0</v>
      </c>
      <c r="U120" s="193">
        <f t="shared" si="80"/>
        <v>0</v>
      </c>
      <c r="V120" s="193">
        <f t="shared" si="80"/>
        <v>0</v>
      </c>
      <c r="W120" s="193">
        <f t="shared" si="80"/>
        <v>0</v>
      </c>
      <c r="X120" s="189">
        <f>SUM(D120:W120)</f>
        <v>0</v>
      </c>
      <c r="Y120" s="106">
        <f>X120/20</f>
        <v>0</v>
      </c>
      <c r="Z120" s="190">
        <f t="shared" ref="Z120:Z130" si="81">NPV(3.5%,D120:W120)</f>
        <v>0</v>
      </c>
    </row>
    <row r="121" spans="1:33">
      <c r="C121" s="16" t="s">
        <v>312</v>
      </c>
      <c r="D121" s="193">
        <f t="shared" ref="D121:F121" si="82">D15+D21</f>
        <v>0</v>
      </c>
      <c r="E121" s="193">
        <f t="shared" si="82"/>
        <v>0</v>
      </c>
      <c r="F121" s="193">
        <f t="shared" si="82"/>
        <v>0</v>
      </c>
      <c r="G121" s="193">
        <f>G15+G21</f>
        <v>0</v>
      </c>
      <c r="H121" s="193">
        <f t="shared" ref="H121:W121" si="83">H15+H21</f>
        <v>0</v>
      </c>
      <c r="I121" s="193">
        <f t="shared" si="83"/>
        <v>0</v>
      </c>
      <c r="J121" s="193">
        <f t="shared" si="83"/>
        <v>0</v>
      </c>
      <c r="K121" s="193">
        <f t="shared" si="83"/>
        <v>0</v>
      </c>
      <c r="L121" s="193">
        <f t="shared" si="83"/>
        <v>0</v>
      </c>
      <c r="M121" s="193">
        <f t="shared" si="83"/>
        <v>0</v>
      </c>
      <c r="N121" s="193">
        <f t="shared" si="83"/>
        <v>0</v>
      </c>
      <c r="O121" s="193">
        <f t="shared" si="83"/>
        <v>0</v>
      </c>
      <c r="P121" s="193">
        <f t="shared" si="83"/>
        <v>0</v>
      </c>
      <c r="Q121" s="193">
        <f t="shared" si="83"/>
        <v>0</v>
      </c>
      <c r="R121" s="193">
        <f t="shared" si="83"/>
        <v>0</v>
      </c>
      <c r="S121" s="193">
        <f t="shared" si="83"/>
        <v>0</v>
      </c>
      <c r="T121" s="193">
        <f t="shared" si="83"/>
        <v>0</v>
      </c>
      <c r="U121" s="193">
        <f t="shared" si="83"/>
        <v>0</v>
      </c>
      <c r="V121" s="193">
        <f t="shared" si="83"/>
        <v>0</v>
      </c>
      <c r="W121" s="193">
        <f t="shared" si="83"/>
        <v>0</v>
      </c>
      <c r="X121" s="189">
        <f t="shared" ref="X121:X130" si="84">SUM(D121:W121)</f>
        <v>0</v>
      </c>
      <c r="Y121" s="106">
        <f t="shared" ref="Y121:Y130" si="85">X121/20</f>
        <v>0</v>
      </c>
      <c r="Z121" s="190">
        <f t="shared" si="81"/>
        <v>0</v>
      </c>
    </row>
    <row r="122" spans="1:33">
      <c r="C122" s="16" t="s">
        <v>311</v>
      </c>
      <c r="D122" s="193">
        <f t="shared" ref="D122:F122" si="86">D16+D22</f>
        <v>0</v>
      </c>
      <c r="E122" s="193">
        <f t="shared" si="86"/>
        <v>0</v>
      </c>
      <c r="F122" s="193">
        <f t="shared" si="86"/>
        <v>0</v>
      </c>
      <c r="G122" s="193">
        <f>G16+G22</f>
        <v>0</v>
      </c>
      <c r="H122" s="193">
        <f t="shared" ref="H122:W122" si="87">H16+H22</f>
        <v>0</v>
      </c>
      <c r="I122" s="193">
        <f t="shared" si="87"/>
        <v>0</v>
      </c>
      <c r="J122" s="193">
        <f t="shared" si="87"/>
        <v>0</v>
      </c>
      <c r="K122" s="193">
        <f t="shared" si="87"/>
        <v>0</v>
      </c>
      <c r="L122" s="193">
        <f t="shared" si="87"/>
        <v>0</v>
      </c>
      <c r="M122" s="193">
        <f t="shared" si="87"/>
        <v>0</v>
      </c>
      <c r="N122" s="193">
        <f t="shared" si="87"/>
        <v>0</v>
      </c>
      <c r="O122" s="193">
        <f t="shared" si="87"/>
        <v>0</v>
      </c>
      <c r="P122" s="193">
        <f t="shared" si="87"/>
        <v>0</v>
      </c>
      <c r="Q122" s="193">
        <f t="shared" si="87"/>
        <v>0</v>
      </c>
      <c r="R122" s="193">
        <f t="shared" si="87"/>
        <v>0</v>
      </c>
      <c r="S122" s="193">
        <f t="shared" si="87"/>
        <v>0</v>
      </c>
      <c r="T122" s="193">
        <f t="shared" si="87"/>
        <v>0</v>
      </c>
      <c r="U122" s="193">
        <f t="shared" si="87"/>
        <v>0</v>
      </c>
      <c r="V122" s="193">
        <f t="shared" si="87"/>
        <v>0</v>
      </c>
      <c r="W122" s="193">
        <f t="shared" si="87"/>
        <v>0</v>
      </c>
      <c r="X122" s="189">
        <f t="shared" si="84"/>
        <v>0</v>
      </c>
      <c r="Y122" s="106">
        <f t="shared" si="85"/>
        <v>0</v>
      </c>
      <c r="Z122" s="190">
        <f t="shared" si="81"/>
        <v>0</v>
      </c>
    </row>
    <row r="123" spans="1:33">
      <c r="C123" s="13" t="s">
        <v>310</v>
      </c>
      <c r="D123" s="193">
        <f t="shared" ref="D123:F123" si="88">D17+D23</f>
        <v>0.255432675</v>
      </c>
      <c r="E123" s="193">
        <f t="shared" si="88"/>
        <v>6.8222100000000008E-2</v>
      </c>
      <c r="F123" s="193">
        <f t="shared" si="88"/>
        <v>6.8222100000000008E-2</v>
      </c>
      <c r="G123" s="193">
        <f>G17+G23</f>
        <v>6.8222100000000008E-2</v>
      </c>
      <c r="H123" s="193">
        <f t="shared" ref="H123:W123" si="89">H17+H23</f>
        <v>6.8222100000000008E-2</v>
      </c>
      <c r="I123" s="193">
        <f t="shared" si="89"/>
        <v>6.8222100000000008E-2</v>
      </c>
      <c r="J123" s="193">
        <f t="shared" si="89"/>
        <v>6.8222100000000008E-2</v>
      </c>
      <c r="K123" s="193">
        <f t="shared" si="89"/>
        <v>6.8222100000000008E-2</v>
      </c>
      <c r="L123" s="193">
        <f t="shared" si="89"/>
        <v>6.8222100000000008E-2</v>
      </c>
      <c r="M123" s="193">
        <f t="shared" si="89"/>
        <v>6.8222100000000008E-2</v>
      </c>
      <c r="N123" s="193">
        <f t="shared" si="89"/>
        <v>6.8222100000000008E-2</v>
      </c>
      <c r="O123" s="193">
        <f t="shared" si="89"/>
        <v>6.8222100000000008E-2</v>
      </c>
      <c r="P123" s="193">
        <f t="shared" si="89"/>
        <v>6.8222100000000008E-2</v>
      </c>
      <c r="Q123" s="193">
        <f t="shared" si="89"/>
        <v>6.8222100000000008E-2</v>
      </c>
      <c r="R123" s="193">
        <f t="shared" si="89"/>
        <v>6.8222100000000008E-2</v>
      </c>
      <c r="S123" s="193">
        <f t="shared" si="89"/>
        <v>6.8222100000000008E-2</v>
      </c>
      <c r="T123" s="193">
        <f t="shared" si="89"/>
        <v>6.8222100000000008E-2</v>
      </c>
      <c r="U123" s="193">
        <f t="shared" si="89"/>
        <v>6.8222100000000008E-2</v>
      </c>
      <c r="V123" s="193">
        <f>V17+V23</f>
        <v>6.8222100000000008E-2</v>
      </c>
      <c r="W123" s="193">
        <f t="shared" si="89"/>
        <v>6.8222100000000008E-2</v>
      </c>
      <c r="X123" s="189">
        <f t="shared" si="84"/>
        <v>1.551652575000001</v>
      </c>
      <c r="Y123" s="106">
        <f t="shared" si="85"/>
        <v>7.7582628750000049E-2</v>
      </c>
      <c r="Z123" s="190">
        <f t="shared" si="81"/>
        <v>1.150479781914816</v>
      </c>
    </row>
    <row r="124" spans="1:33">
      <c r="C124" s="16" t="s">
        <v>309</v>
      </c>
      <c r="D124" s="193">
        <f t="shared" ref="D124:F124" si="90">D18+D24</f>
        <v>0.17127061500000001</v>
      </c>
      <c r="E124" s="193">
        <f t="shared" si="90"/>
        <v>6.8222100000000008E-2</v>
      </c>
      <c r="F124" s="193">
        <f t="shared" si="90"/>
        <v>6.8222100000000008E-2</v>
      </c>
      <c r="G124" s="193">
        <f>G18+G24</f>
        <v>6.8222100000000008E-2</v>
      </c>
      <c r="H124" s="193">
        <f t="shared" ref="H124:W124" si="91">H18+H24</f>
        <v>6.8222100000000008E-2</v>
      </c>
      <c r="I124" s="193">
        <f t="shared" si="91"/>
        <v>6.8222100000000008E-2</v>
      </c>
      <c r="J124" s="193">
        <f t="shared" si="91"/>
        <v>6.8222100000000008E-2</v>
      </c>
      <c r="K124" s="193">
        <f t="shared" si="91"/>
        <v>6.8222100000000008E-2</v>
      </c>
      <c r="L124" s="193">
        <f t="shared" si="91"/>
        <v>6.8222100000000008E-2</v>
      </c>
      <c r="M124" s="193">
        <f t="shared" si="91"/>
        <v>6.8222100000000008E-2</v>
      </c>
      <c r="N124" s="193">
        <f t="shared" si="91"/>
        <v>6.8222100000000008E-2</v>
      </c>
      <c r="O124" s="193">
        <f t="shared" si="91"/>
        <v>6.8222100000000008E-2</v>
      </c>
      <c r="P124" s="193">
        <f t="shared" si="91"/>
        <v>6.8222100000000008E-2</v>
      </c>
      <c r="Q124" s="193">
        <f t="shared" si="91"/>
        <v>6.8222100000000008E-2</v>
      </c>
      <c r="R124" s="193">
        <f t="shared" si="91"/>
        <v>6.8222100000000008E-2</v>
      </c>
      <c r="S124" s="193">
        <f t="shared" si="91"/>
        <v>6.8222100000000008E-2</v>
      </c>
      <c r="T124" s="193">
        <f t="shared" si="91"/>
        <v>6.8222100000000008E-2</v>
      </c>
      <c r="U124" s="193">
        <f t="shared" si="91"/>
        <v>6.8222100000000008E-2</v>
      </c>
      <c r="V124" s="193">
        <f t="shared" si="91"/>
        <v>6.8222100000000008E-2</v>
      </c>
      <c r="W124" s="193">
        <f t="shared" si="91"/>
        <v>6.8222100000000008E-2</v>
      </c>
      <c r="X124" s="189">
        <f t="shared" si="84"/>
        <v>1.4674905150000008</v>
      </c>
      <c r="Y124" s="106">
        <f t="shared" si="85"/>
        <v>7.3374525750000044E-2</v>
      </c>
      <c r="Z124" s="190">
        <f t="shared" si="81"/>
        <v>1.0691637819148161</v>
      </c>
    </row>
    <row r="125" spans="1:33">
      <c r="C125" s="13" t="s">
        <v>308</v>
      </c>
      <c r="D125" s="193">
        <f t="shared" ref="D125:F125" si="92">D25</f>
        <v>0.18329999999999999</v>
      </c>
      <c r="E125" s="193">
        <f t="shared" si="92"/>
        <v>0.18329999999999999</v>
      </c>
      <c r="F125" s="193">
        <f t="shared" si="92"/>
        <v>0.18329999999999999</v>
      </c>
      <c r="G125" s="193">
        <f>G25</f>
        <v>0.18329999999999999</v>
      </c>
      <c r="H125" s="193">
        <f t="shared" ref="H125:W130" si="93">H25</f>
        <v>0.18329999999999999</v>
      </c>
      <c r="I125" s="193">
        <f t="shared" si="93"/>
        <v>0.18329999999999999</v>
      </c>
      <c r="J125" s="193">
        <f t="shared" si="93"/>
        <v>0.18329999999999999</v>
      </c>
      <c r="K125" s="193">
        <f t="shared" si="93"/>
        <v>0.18329999999999999</v>
      </c>
      <c r="L125" s="193">
        <f t="shared" si="93"/>
        <v>0.18329999999999999</v>
      </c>
      <c r="M125" s="193">
        <f t="shared" si="93"/>
        <v>0.18329999999999999</v>
      </c>
      <c r="N125" s="193">
        <f t="shared" si="93"/>
        <v>0.18329999999999999</v>
      </c>
      <c r="O125" s="193">
        <f t="shared" si="93"/>
        <v>0.18329999999999999</v>
      </c>
      <c r="P125" s="193">
        <f t="shared" si="93"/>
        <v>0.18329999999999999</v>
      </c>
      <c r="Q125" s="193">
        <f t="shared" si="93"/>
        <v>0.18329999999999999</v>
      </c>
      <c r="R125" s="193">
        <f t="shared" si="93"/>
        <v>0.18329999999999999</v>
      </c>
      <c r="S125" s="193">
        <f t="shared" si="93"/>
        <v>0.18329999999999999</v>
      </c>
      <c r="T125" s="193">
        <f t="shared" si="93"/>
        <v>0.18329999999999999</v>
      </c>
      <c r="U125" s="193">
        <f t="shared" si="93"/>
        <v>0.18329999999999999</v>
      </c>
      <c r="V125" s="193">
        <f t="shared" si="93"/>
        <v>0.18329999999999999</v>
      </c>
      <c r="W125" s="193">
        <f t="shared" si="93"/>
        <v>0.18329999999999999</v>
      </c>
      <c r="X125" s="189">
        <f t="shared" si="84"/>
        <v>3.6659999999999999</v>
      </c>
      <c r="Y125" s="106">
        <f t="shared" si="85"/>
        <v>0.18329999999999999</v>
      </c>
      <c r="Z125" s="190">
        <f t="shared" si="81"/>
        <v>2.6051335252478571</v>
      </c>
    </row>
    <row r="126" spans="1:33">
      <c r="C126" s="13" t="s">
        <v>307</v>
      </c>
      <c r="D126" s="193">
        <f t="shared" ref="D126:F126" si="94">D26</f>
        <v>8.2485000000000003E-2</v>
      </c>
      <c r="E126" s="193">
        <f t="shared" si="94"/>
        <v>8.2485000000000003E-2</v>
      </c>
      <c r="F126" s="193">
        <f t="shared" si="94"/>
        <v>8.2485000000000003E-2</v>
      </c>
      <c r="G126" s="193">
        <f t="shared" ref="G126:V130" si="95">G26</f>
        <v>8.2485000000000003E-2</v>
      </c>
      <c r="H126" s="193">
        <f t="shared" si="95"/>
        <v>8.2485000000000003E-2</v>
      </c>
      <c r="I126" s="193">
        <f t="shared" si="95"/>
        <v>8.2485000000000003E-2</v>
      </c>
      <c r="J126" s="193">
        <f t="shared" si="95"/>
        <v>8.2485000000000003E-2</v>
      </c>
      <c r="K126" s="193">
        <f t="shared" si="95"/>
        <v>8.2485000000000003E-2</v>
      </c>
      <c r="L126" s="193">
        <f t="shared" si="95"/>
        <v>8.2485000000000003E-2</v>
      </c>
      <c r="M126" s="193">
        <f t="shared" si="95"/>
        <v>8.2485000000000003E-2</v>
      </c>
      <c r="N126" s="193">
        <f t="shared" si="95"/>
        <v>8.2485000000000003E-2</v>
      </c>
      <c r="O126" s="193">
        <f t="shared" si="95"/>
        <v>8.2485000000000003E-2</v>
      </c>
      <c r="P126" s="193">
        <f t="shared" si="95"/>
        <v>8.2485000000000003E-2</v>
      </c>
      <c r="Q126" s="193">
        <f t="shared" si="95"/>
        <v>8.2485000000000003E-2</v>
      </c>
      <c r="R126" s="193">
        <f t="shared" si="95"/>
        <v>8.2485000000000003E-2</v>
      </c>
      <c r="S126" s="193">
        <f t="shared" si="95"/>
        <v>8.2485000000000003E-2</v>
      </c>
      <c r="T126" s="193">
        <f t="shared" si="95"/>
        <v>8.2485000000000003E-2</v>
      </c>
      <c r="U126" s="193">
        <f t="shared" si="95"/>
        <v>8.2485000000000003E-2</v>
      </c>
      <c r="V126" s="193">
        <f t="shared" si="95"/>
        <v>8.2485000000000003E-2</v>
      </c>
      <c r="W126" s="193">
        <f t="shared" si="93"/>
        <v>8.2485000000000003E-2</v>
      </c>
      <c r="X126" s="189">
        <f t="shared" si="84"/>
        <v>1.6496999999999997</v>
      </c>
      <c r="Y126" s="106">
        <f t="shared" si="85"/>
        <v>8.2484999999999989E-2</v>
      </c>
      <c r="Z126" s="190">
        <f t="shared" si="81"/>
        <v>1.1723100863615359</v>
      </c>
    </row>
    <row r="127" spans="1:33">
      <c r="C127" s="13" t="s">
        <v>306</v>
      </c>
      <c r="D127" s="193">
        <f t="shared" ref="D127:F127" si="96">D27</f>
        <v>3.7600000000000001E-2</v>
      </c>
      <c r="E127" s="193">
        <f t="shared" si="96"/>
        <v>3.7600000000000001E-2</v>
      </c>
      <c r="F127" s="193">
        <f t="shared" si="96"/>
        <v>3.7600000000000001E-2</v>
      </c>
      <c r="G127" s="193">
        <f t="shared" si="95"/>
        <v>3.7600000000000001E-2</v>
      </c>
      <c r="H127" s="193">
        <f t="shared" si="93"/>
        <v>3.7600000000000001E-2</v>
      </c>
      <c r="I127" s="193">
        <f t="shared" si="93"/>
        <v>3.7600000000000001E-2</v>
      </c>
      <c r="J127" s="193">
        <f t="shared" si="93"/>
        <v>3.7600000000000001E-2</v>
      </c>
      <c r="K127" s="193">
        <f t="shared" si="93"/>
        <v>3.7600000000000001E-2</v>
      </c>
      <c r="L127" s="193">
        <f t="shared" si="93"/>
        <v>3.7600000000000001E-2</v>
      </c>
      <c r="M127" s="193">
        <f t="shared" si="93"/>
        <v>3.7600000000000001E-2</v>
      </c>
      <c r="N127" s="193">
        <f t="shared" si="93"/>
        <v>3.7600000000000001E-2</v>
      </c>
      <c r="O127" s="193">
        <f t="shared" si="93"/>
        <v>3.7600000000000001E-2</v>
      </c>
      <c r="P127" s="193">
        <f t="shared" si="93"/>
        <v>3.7600000000000001E-2</v>
      </c>
      <c r="Q127" s="193">
        <f t="shared" si="93"/>
        <v>3.7600000000000001E-2</v>
      </c>
      <c r="R127" s="193">
        <f t="shared" si="93"/>
        <v>3.7600000000000001E-2</v>
      </c>
      <c r="S127" s="193">
        <f t="shared" si="93"/>
        <v>3.7600000000000001E-2</v>
      </c>
      <c r="T127" s="193">
        <f t="shared" si="93"/>
        <v>3.7600000000000001E-2</v>
      </c>
      <c r="U127" s="193">
        <f t="shared" si="93"/>
        <v>3.7600000000000001E-2</v>
      </c>
      <c r="V127" s="193">
        <f t="shared" si="93"/>
        <v>3.7600000000000001E-2</v>
      </c>
      <c r="W127" s="193">
        <f t="shared" si="93"/>
        <v>3.7600000000000001E-2</v>
      </c>
      <c r="X127" s="189">
        <f t="shared" si="84"/>
        <v>0.75199999999999989</v>
      </c>
      <c r="Y127" s="106">
        <f t="shared" si="85"/>
        <v>3.7599999999999995E-2</v>
      </c>
      <c r="Z127" s="190">
        <f t="shared" si="81"/>
        <v>0.53438636415340646</v>
      </c>
    </row>
    <row r="128" spans="1:33">
      <c r="C128" s="13" t="s">
        <v>305</v>
      </c>
      <c r="D128" s="193">
        <f t="shared" ref="D128:F128" si="97">D28</f>
        <v>9.8699999999999996E-2</v>
      </c>
      <c r="E128" s="193">
        <f t="shared" si="97"/>
        <v>9.8699999999999996E-2</v>
      </c>
      <c r="F128" s="193">
        <f t="shared" si="97"/>
        <v>9.8699999999999996E-2</v>
      </c>
      <c r="G128" s="193">
        <f t="shared" si="95"/>
        <v>9.8699999999999996E-2</v>
      </c>
      <c r="H128" s="193">
        <f t="shared" si="93"/>
        <v>9.8699999999999996E-2</v>
      </c>
      <c r="I128" s="193">
        <f t="shared" si="93"/>
        <v>9.8699999999999996E-2</v>
      </c>
      <c r="J128" s="193">
        <f t="shared" si="93"/>
        <v>9.8699999999999996E-2</v>
      </c>
      <c r="K128" s="193">
        <f t="shared" si="93"/>
        <v>9.8699999999999996E-2</v>
      </c>
      <c r="L128" s="193">
        <f t="shared" si="93"/>
        <v>9.8699999999999996E-2</v>
      </c>
      <c r="M128" s="193">
        <f t="shared" si="93"/>
        <v>9.8699999999999996E-2</v>
      </c>
      <c r="N128" s="193">
        <f t="shared" si="93"/>
        <v>9.8699999999999996E-2</v>
      </c>
      <c r="O128" s="193">
        <f t="shared" si="93"/>
        <v>9.8699999999999996E-2</v>
      </c>
      <c r="P128" s="193">
        <f t="shared" si="93"/>
        <v>9.8699999999999996E-2</v>
      </c>
      <c r="Q128" s="193">
        <f t="shared" si="93"/>
        <v>9.8699999999999996E-2</v>
      </c>
      <c r="R128" s="193">
        <f t="shared" si="93"/>
        <v>9.8699999999999996E-2</v>
      </c>
      <c r="S128" s="193">
        <f t="shared" si="93"/>
        <v>9.8699999999999996E-2</v>
      </c>
      <c r="T128" s="193">
        <f t="shared" si="93"/>
        <v>9.8699999999999996E-2</v>
      </c>
      <c r="U128" s="193">
        <f t="shared" si="93"/>
        <v>9.8699999999999996E-2</v>
      </c>
      <c r="V128" s="193">
        <f t="shared" si="93"/>
        <v>9.8699999999999996E-2</v>
      </c>
      <c r="W128" s="193">
        <f t="shared" si="93"/>
        <v>9.8699999999999996E-2</v>
      </c>
      <c r="X128" s="189">
        <f t="shared" si="84"/>
        <v>1.974</v>
      </c>
      <c r="Y128" s="106">
        <f t="shared" si="85"/>
        <v>9.8699999999999996E-2</v>
      </c>
      <c r="Z128" s="190">
        <f t="shared" si="81"/>
        <v>1.4027642059026921</v>
      </c>
    </row>
    <row r="129" spans="1:28">
      <c r="C129" s="13" t="s">
        <v>314</v>
      </c>
      <c r="D129" s="193">
        <f t="shared" ref="D129:F129" si="98">D29</f>
        <v>0.16450000000000001</v>
      </c>
      <c r="E129" s="193">
        <f t="shared" si="98"/>
        <v>0.16450000000000001</v>
      </c>
      <c r="F129" s="193">
        <f t="shared" si="98"/>
        <v>0.16450000000000001</v>
      </c>
      <c r="G129" s="193">
        <f t="shared" si="95"/>
        <v>0.16450000000000001</v>
      </c>
      <c r="H129" s="193">
        <f t="shared" si="93"/>
        <v>0.16450000000000001</v>
      </c>
      <c r="I129" s="193">
        <f t="shared" si="93"/>
        <v>0.16450000000000001</v>
      </c>
      <c r="J129" s="193">
        <f t="shared" si="93"/>
        <v>0.16450000000000001</v>
      </c>
      <c r="K129" s="193">
        <f t="shared" si="93"/>
        <v>0.16450000000000001</v>
      </c>
      <c r="L129" s="193">
        <f t="shared" si="93"/>
        <v>0.16450000000000001</v>
      </c>
      <c r="M129" s="193">
        <f t="shared" si="93"/>
        <v>0.16450000000000001</v>
      </c>
      <c r="N129" s="193">
        <f t="shared" si="93"/>
        <v>0.16450000000000001</v>
      </c>
      <c r="O129" s="193">
        <f t="shared" si="93"/>
        <v>0.16450000000000001</v>
      </c>
      <c r="P129" s="193">
        <f t="shared" si="93"/>
        <v>0.16450000000000001</v>
      </c>
      <c r="Q129" s="193">
        <f t="shared" si="93"/>
        <v>0.16450000000000001</v>
      </c>
      <c r="R129" s="193">
        <f t="shared" si="93"/>
        <v>0.16450000000000001</v>
      </c>
      <c r="S129" s="193">
        <f t="shared" si="93"/>
        <v>0.16450000000000001</v>
      </c>
      <c r="T129" s="193">
        <f t="shared" si="93"/>
        <v>0.16450000000000001</v>
      </c>
      <c r="U129" s="193">
        <f t="shared" si="93"/>
        <v>0.16450000000000001</v>
      </c>
      <c r="V129" s="193">
        <f t="shared" si="93"/>
        <v>0.16450000000000001</v>
      </c>
      <c r="W129" s="193">
        <f t="shared" si="93"/>
        <v>0.16450000000000001</v>
      </c>
      <c r="X129" s="189">
        <f t="shared" si="84"/>
        <v>3.2899999999999996</v>
      </c>
      <c r="Y129" s="106">
        <f t="shared" si="85"/>
        <v>0.16449999999999998</v>
      </c>
      <c r="Z129" s="190">
        <f t="shared" si="81"/>
        <v>2.3379403431711534</v>
      </c>
    </row>
    <row r="130" spans="1:28">
      <c r="A130" s="13"/>
      <c r="B130" s="13"/>
      <c r="C130" s="13" t="s">
        <v>315</v>
      </c>
      <c r="D130" s="106">
        <f t="shared" ref="D130:F130" si="99">D30</f>
        <v>9.1649999999999995E-2</v>
      </c>
      <c r="E130" s="106">
        <f t="shared" si="99"/>
        <v>9.1649999999999995E-2</v>
      </c>
      <c r="F130" s="106">
        <f t="shared" si="99"/>
        <v>9.1649999999999995E-2</v>
      </c>
      <c r="G130" s="106">
        <f t="shared" si="95"/>
        <v>9.1649999999999995E-2</v>
      </c>
      <c r="H130" s="106">
        <f t="shared" si="93"/>
        <v>9.1649999999999995E-2</v>
      </c>
      <c r="I130" s="106">
        <f t="shared" si="93"/>
        <v>9.1649999999999995E-2</v>
      </c>
      <c r="J130" s="106">
        <f t="shared" si="93"/>
        <v>9.1649999999999995E-2</v>
      </c>
      <c r="K130" s="106">
        <f t="shared" si="93"/>
        <v>9.1649999999999995E-2</v>
      </c>
      <c r="L130" s="106">
        <f t="shared" si="93"/>
        <v>9.1649999999999995E-2</v>
      </c>
      <c r="M130" s="106">
        <f t="shared" si="93"/>
        <v>9.1649999999999995E-2</v>
      </c>
      <c r="N130" s="106">
        <f t="shared" si="93"/>
        <v>9.1649999999999995E-2</v>
      </c>
      <c r="O130" s="106">
        <f t="shared" si="93"/>
        <v>9.1649999999999995E-2</v>
      </c>
      <c r="P130" s="106">
        <f t="shared" si="93"/>
        <v>9.1649999999999995E-2</v>
      </c>
      <c r="Q130" s="106">
        <f t="shared" si="93"/>
        <v>9.1649999999999995E-2</v>
      </c>
      <c r="R130" s="106">
        <f t="shared" si="93"/>
        <v>9.1649999999999995E-2</v>
      </c>
      <c r="S130" s="106">
        <f t="shared" si="93"/>
        <v>9.1649999999999995E-2</v>
      </c>
      <c r="T130" s="106">
        <f t="shared" si="93"/>
        <v>9.1649999999999995E-2</v>
      </c>
      <c r="U130" s="106">
        <f t="shared" si="93"/>
        <v>9.1649999999999995E-2</v>
      </c>
      <c r="V130" s="106">
        <f t="shared" si="93"/>
        <v>9.1649999999999995E-2</v>
      </c>
      <c r="W130" s="106">
        <f t="shared" si="93"/>
        <v>9.1649999999999995E-2</v>
      </c>
      <c r="X130" s="189">
        <f t="shared" si="84"/>
        <v>1.833</v>
      </c>
      <c r="Y130" s="106">
        <f t="shared" si="85"/>
        <v>9.1649999999999995E-2</v>
      </c>
      <c r="Z130" s="190">
        <f t="shared" si="81"/>
        <v>1.3025667626239286</v>
      </c>
      <c r="AB130" s="193"/>
    </row>
    <row r="131" spans="1:28">
      <c r="A131" s="15"/>
      <c r="B131" s="15"/>
      <c r="C131" s="15"/>
      <c r="D131" s="191"/>
      <c r="E131" s="191"/>
      <c r="F131" s="191"/>
      <c r="G131" s="191"/>
      <c r="H131" s="191"/>
      <c r="I131" s="191"/>
      <c r="J131" s="191"/>
      <c r="K131" s="191"/>
      <c r="L131" s="191"/>
      <c r="M131" s="191"/>
      <c r="N131" s="191"/>
      <c r="O131" s="191"/>
      <c r="P131" s="191"/>
      <c r="Q131" s="191"/>
      <c r="R131" s="191"/>
      <c r="S131" s="191"/>
      <c r="T131" s="191"/>
      <c r="U131" s="191"/>
      <c r="V131" s="191"/>
      <c r="W131" s="191"/>
      <c r="X131" s="192"/>
      <c r="Y131" s="191"/>
      <c r="Z131" s="194"/>
      <c r="AB131" s="193"/>
    </row>
    <row r="132" spans="1:28">
      <c r="A132" s="13"/>
      <c r="B132" s="3" t="s">
        <v>302</v>
      </c>
      <c r="C132" s="13"/>
      <c r="D132" s="13"/>
      <c r="E132" s="13"/>
      <c r="F132" s="13"/>
      <c r="G132" s="13"/>
      <c r="H132" s="13"/>
      <c r="I132" s="13"/>
      <c r="J132" s="13"/>
      <c r="K132" s="13"/>
      <c r="L132" s="13"/>
      <c r="M132" s="13"/>
      <c r="N132" s="13"/>
      <c r="O132" s="13"/>
      <c r="P132" s="13"/>
      <c r="Q132" s="13"/>
      <c r="R132" s="13"/>
      <c r="S132" s="13"/>
      <c r="T132" s="13"/>
      <c r="U132" s="13"/>
      <c r="V132" s="13"/>
      <c r="W132" s="13"/>
      <c r="X132" s="189"/>
      <c r="Y132" s="13"/>
      <c r="Z132" s="121"/>
    </row>
    <row r="133" spans="1:28">
      <c r="A133" s="13"/>
      <c r="B133" s="13"/>
      <c r="C133" s="13" t="s">
        <v>303</v>
      </c>
      <c r="D133" s="106">
        <f t="shared" ref="D133:F133" si="100">D39+D41</f>
        <v>0.5228712499999999</v>
      </c>
      <c r="E133" s="106">
        <f t="shared" si="100"/>
        <v>9.018799999999999E-2</v>
      </c>
      <c r="F133" s="106">
        <f t="shared" si="100"/>
        <v>9.018799999999999E-2</v>
      </c>
      <c r="G133" s="106">
        <f>G39+G41</f>
        <v>9.018799999999999E-2</v>
      </c>
      <c r="H133" s="106">
        <f t="shared" ref="H133:V133" si="101">H39+H41</f>
        <v>9.018799999999999E-2</v>
      </c>
      <c r="I133" s="106">
        <f t="shared" si="101"/>
        <v>9.018799999999999E-2</v>
      </c>
      <c r="J133" s="106">
        <f t="shared" si="101"/>
        <v>9.018799999999999E-2</v>
      </c>
      <c r="K133" s="106">
        <f t="shared" si="101"/>
        <v>9.018799999999999E-2</v>
      </c>
      <c r="L133" s="106">
        <f t="shared" si="101"/>
        <v>9.018799999999999E-2</v>
      </c>
      <c r="M133" s="106">
        <f t="shared" si="101"/>
        <v>9.018799999999999E-2</v>
      </c>
      <c r="N133" s="106">
        <f t="shared" si="101"/>
        <v>9.018799999999999E-2</v>
      </c>
      <c r="O133" s="106">
        <f t="shared" si="101"/>
        <v>9.018799999999999E-2</v>
      </c>
      <c r="P133" s="106">
        <f t="shared" si="101"/>
        <v>9.018799999999999E-2</v>
      </c>
      <c r="Q133" s="106">
        <f t="shared" si="101"/>
        <v>9.018799999999999E-2</v>
      </c>
      <c r="R133" s="106">
        <f t="shared" si="101"/>
        <v>9.018799999999999E-2</v>
      </c>
      <c r="S133" s="106">
        <f t="shared" si="101"/>
        <v>9.018799999999999E-2</v>
      </c>
      <c r="T133" s="106">
        <f t="shared" si="101"/>
        <v>9.018799999999999E-2</v>
      </c>
      <c r="U133" s="106">
        <f t="shared" si="101"/>
        <v>9.018799999999999E-2</v>
      </c>
      <c r="V133" s="106">
        <f t="shared" si="101"/>
        <v>9.018799999999999E-2</v>
      </c>
      <c r="W133" s="106">
        <f>W39+W41</f>
        <v>9.018799999999999E-2</v>
      </c>
      <c r="X133" s="189">
        <f>SUM(D133:W133)</f>
        <v>2.2364432499999989</v>
      </c>
      <c r="Y133" s="106">
        <f t="shared" ref="Y133:Y134" si="102">X133/20</f>
        <v>0.11182216249999995</v>
      </c>
      <c r="Z133" s="190">
        <f t="shared" ref="Z133:Z134" si="103">NPV(3.5%,D133:W133)</f>
        <v>1.6998396782718368</v>
      </c>
    </row>
    <row r="134" spans="1:28">
      <c r="A134" s="13"/>
      <c r="B134" s="13"/>
      <c r="C134" s="13" t="s">
        <v>304</v>
      </c>
      <c r="D134" s="106">
        <f t="shared" ref="D134:F134" si="104">D42</f>
        <v>6.7267516249999992E-2</v>
      </c>
      <c r="E134" s="106">
        <f t="shared" si="104"/>
        <v>6.7267516249999992E-2</v>
      </c>
      <c r="F134" s="106">
        <f t="shared" si="104"/>
        <v>6.7267516249999992E-2</v>
      </c>
      <c r="G134" s="106">
        <f>G42</f>
        <v>6.7267516249999992E-2</v>
      </c>
      <c r="H134" s="106">
        <f t="shared" ref="H134:W134" si="105">H42</f>
        <v>6.7267516249999992E-2</v>
      </c>
      <c r="I134" s="106">
        <f t="shared" si="105"/>
        <v>6.7267516249999992E-2</v>
      </c>
      <c r="J134" s="106">
        <f t="shared" si="105"/>
        <v>6.7267516249999992E-2</v>
      </c>
      <c r="K134" s="106">
        <f t="shared" si="105"/>
        <v>6.7267516249999992E-2</v>
      </c>
      <c r="L134" s="106">
        <f t="shared" si="105"/>
        <v>6.7267516249999992E-2</v>
      </c>
      <c r="M134" s="106">
        <f t="shared" si="105"/>
        <v>6.7267516249999992E-2</v>
      </c>
      <c r="N134" s="106">
        <f t="shared" si="105"/>
        <v>6.7267516249999992E-2</v>
      </c>
      <c r="O134" s="106">
        <f t="shared" si="105"/>
        <v>6.7267516249999992E-2</v>
      </c>
      <c r="P134" s="106">
        <f t="shared" si="105"/>
        <v>6.7267516249999992E-2</v>
      </c>
      <c r="Q134" s="106">
        <f t="shared" si="105"/>
        <v>6.7267516249999992E-2</v>
      </c>
      <c r="R134" s="106">
        <f t="shared" si="105"/>
        <v>6.7267516249999992E-2</v>
      </c>
      <c r="S134" s="106">
        <f t="shared" si="105"/>
        <v>6.7267516249999992E-2</v>
      </c>
      <c r="T134" s="106">
        <f t="shared" si="105"/>
        <v>6.7267516249999992E-2</v>
      </c>
      <c r="U134" s="106">
        <f t="shared" si="105"/>
        <v>6.7267516249999992E-2</v>
      </c>
      <c r="V134" s="106">
        <f t="shared" si="105"/>
        <v>6.7267516249999992E-2</v>
      </c>
      <c r="W134" s="106">
        <f t="shared" si="105"/>
        <v>6.7267516249999992E-2</v>
      </c>
      <c r="X134" s="189">
        <f>SUM(D134:W134)</f>
        <v>1.3453503250000005</v>
      </c>
      <c r="Y134" s="106">
        <f t="shared" si="102"/>
        <v>6.726751625000002E-2</v>
      </c>
      <c r="Z134" s="190">
        <f t="shared" si="103"/>
        <v>0.95603307006562988</v>
      </c>
    </row>
    <row r="135" spans="1:28">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30"/>
      <c r="Y135" s="13"/>
      <c r="Z135" s="121"/>
    </row>
    <row r="136" spans="1:28" ht="24" customHeight="1">
      <c r="A136" s="217" t="s">
        <v>242</v>
      </c>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9"/>
    </row>
    <row r="137" spans="1:28">
      <c r="A137" s="13"/>
      <c r="B137" s="3" t="s">
        <v>297</v>
      </c>
      <c r="C137" s="13"/>
      <c r="D137" s="13"/>
      <c r="E137" s="13"/>
      <c r="F137" s="13"/>
      <c r="G137" s="13"/>
      <c r="H137" s="13"/>
      <c r="I137" s="13"/>
      <c r="J137" s="13"/>
      <c r="K137" s="13"/>
      <c r="L137" s="13"/>
      <c r="M137" s="13"/>
      <c r="N137" s="13"/>
      <c r="O137" s="13"/>
      <c r="P137" s="13"/>
      <c r="Q137" s="13"/>
      <c r="R137" s="13"/>
      <c r="S137" s="13"/>
      <c r="T137" s="13"/>
      <c r="U137" s="13"/>
      <c r="V137" s="13"/>
      <c r="W137" s="13"/>
      <c r="X137" s="30"/>
      <c r="Y137" s="13"/>
      <c r="Z137" s="121"/>
      <c r="AB137" s="193"/>
    </row>
    <row r="138" spans="1:28">
      <c r="A138" s="13"/>
      <c r="B138" s="13"/>
      <c r="C138" s="16" t="s">
        <v>313</v>
      </c>
      <c r="D138" s="106">
        <f>(D65+D71)</f>
        <v>0.98072349999999997</v>
      </c>
      <c r="E138" s="106">
        <f t="shared" ref="E138:W142" si="106">E65+E71</f>
        <v>0.18037599999999998</v>
      </c>
      <c r="F138" s="106">
        <f t="shared" si="106"/>
        <v>0.18037599999999998</v>
      </c>
      <c r="G138" s="106">
        <f t="shared" si="106"/>
        <v>0.18037599999999998</v>
      </c>
      <c r="H138" s="106">
        <f t="shared" si="106"/>
        <v>0.18037599999999998</v>
      </c>
      <c r="I138" s="106">
        <f t="shared" si="106"/>
        <v>0.18037599999999998</v>
      </c>
      <c r="J138" s="106">
        <f t="shared" si="106"/>
        <v>0.18037599999999998</v>
      </c>
      <c r="K138" s="106">
        <f t="shared" si="106"/>
        <v>0.18037599999999998</v>
      </c>
      <c r="L138" s="106">
        <f t="shared" si="106"/>
        <v>0.18037599999999998</v>
      </c>
      <c r="M138" s="106">
        <f t="shared" si="106"/>
        <v>0.18037599999999998</v>
      </c>
      <c r="N138" s="106">
        <f t="shared" si="106"/>
        <v>0.18037599999999998</v>
      </c>
      <c r="O138" s="106">
        <f t="shared" si="106"/>
        <v>0.18037599999999998</v>
      </c>
      <c r="P138" s="106">
        <f t="shared" si="106"/>
        <v>0.18037599999999998</v>
      </c>
      <c r="Q138" s="106">
        <f t="shared" si="106"/>
        <v>0.18037599999999998</v>
      </c>
      <c r="R138" s="106">
        <f t="shared" si="106"/>
        <v>0.18037599999999998</v>
      </c>
      <c r="S138" s="106">
        <f t="shared" si="106"/>
        <v>0.18037599999999998</v>
      </c>
      <c r="T138" s="106">
        <f t="shared" si="106"/>
        <v>0.18037599999999998</v>
      </c>
      <c r="U138" s="106">
        <f t="shared" si="106"/>
        <v>0.18037599999999998</v>
      </c>
      <c r="V138" s="106">
        <f t="shared" si="106"/>
        <v>0.18037599999999998</v>
      </c>
      <c r="W138" s="106">
        <f>W65+W71</f>
        <v>0.18037599999999998</v>
      </c>
      <c r="X138" s="189">
        <f>SUM(D138:W138)</f>
        <v>4.4078674999999983</v>
      </c>
      <c r="Y138" s="106">
        <f t="shared" ref="Y138:Y148" si="107">X138/20</f>
        <v>0.22039337499999992</v>
      </c>
      <c r="Z138" s="190">
        <f t="shared" ref="Z138:Z148" si="108">NPV(3.5%,D138:W138)</f>
        <v>3.3368590666886013</v>
      </c>
    </row>
    <row r="139" spans="1:28">
      <c r="A139" s="13"/>
      <c r="B139" s="13"/>
      <c r="C139" s="16" t="s">
        <v>312</v>
      </c>
      <c r="D139" s="106">
        <f>(D66+D72)</f>
        <v>1.4050337499999999</v>
      </c>
      <c r="E139" s="106">
        <f t="shared" ref="E139:S139" si="109">E66+E72</f>
        <v>0.27100000000000002</v>
      </c>
      <c r="F139" s="106">
        <f t="shared" si="109"/>
        <v>0.27100000000000002</v>
      </c>
      <c r="G139" s="106">
        <f t="shared" si="109"/>
        <v>0.27100000000000002</v>
      </c>
      <c r="H139" s="106">
        <f t="shared" si="109"/>
        <v>0.27100000000000002</v>
      </c>
      <c r="I139" s="106">
        <f t="shared" si="109"/>
        <v>0.27100000000000002</v>
      </c>
      <c r="J139" s="106">
        <f t="shared" si="109"/>
        <v>0.27100000000000002</v>
      </c>
      <c r="K139" s="106">
        <f t="shared" si="109"/>
        <v>0.27100000000000002</v>
      </c>
      <c r="L139" s="106">
        <f t="shared" si="109"/>
        <v>0.27100000000000002</v>
      </c>
      <c r="M139" s="106">
        <f t="shared" si="109"/>
        <v>0.27100000000000002</v>
      </c>
      <c r="N139" s="106">
        <f t="shared" si="109"/>
        <v>0.27100000000000002</v>
      </c>
      <c r="O139" s="106">
        <f t="shared" si="109"/>
        <v>0.27100000000000002</v>
      </c>
      <c r="P139" s="106">
        <f t="shared" si="109"/>
        <v>0.27100000000000002</v>
      </c>
      <c r="Q139" s="106">
        <f t="shared" si="109"/>
        <v>0.27100000000000002</v>
      </c>
      <c r="R139" s="106">
        <f t="shared" si="109"/>
        <v>0.27100000000000002</v>
      </c>
      <c r="S139" s="106">
        <f t="shared" si="109"/>
        <v>0.27100000000000002</v>
      </c>
      <c r="T139" s="106">
        <f t="shared" si="106"/>
        <v>0.27100000000000002</v>
      </c>
      <c r="U139" s="106">
        <f t="shared" si="106"/>
        <v>0.27100000000000002</v>
      </c>
      <c r="V139" s="106">
        <f t="shared" si="106"/>
        <v>0.27100000000000002</v>
      </c>
      <c r="W139" s="106">
        <f t="shared" si="106"/>
        <v>0.27100000000000002</v>
      </c>
      <c r="X139" s="189">
        <f t="shared" ref="X139:X148" si="110">SUM(D139:W139)</f>
        <v>6.5540337499999985</v>
      </c>
      <c r="Y139" s="106">
        <f t="shared" si="107"/>
        <v>0.32770168749999995</v>
      </c>
      <c r="Z139" s="190">
        <f t="shared" si="108"/>
        <v>4.9472460774377689</v>
      </c>
    </row>
    <row r="140" spans="1:28">
      <c r="A140" s="13"/>
      <c r="B140" s="13"/>
      <c r="C140" s="16" t="s">
        <v>311</v>
      </c>
      <c r="D140" s="106">
        <f>D67+D73</f>
        <v>0.5228712499999999</v>
      </c>
      <c r="E140" s="106">
        <f t="shared" si="106"/>
        <v>9.018799999999999E-2</v>
      </c>
      <c r="F140" s="106">
        <f t="shared" si="106"/>
        <v>9.018799999999999E-2</v>
      </c>
      <c r="G140" s="106">
        <f t="shared" si="106"/>
        <v>9.018799999999999E-2</v>
      </c>
      <c r="H140" s="106">
        <f t="shared" si="106"/>
        <v>9.018799999999999E-2</v>
      </c>
      <c r="I140" s="106">
        <f t="shared" si="106"/>
        <v>9.018799999999999E-2</v>
      </c>
      <c r="J140" s="106">
        <f t="shared" si="106"/>
        <v>9.018799999999999E-2</v>
      </c>
      <c r="K140" s="106">
        <f t="shared" si="106"/>
        <v>9.018799999999999E-2</v>
      </c>
      <c r="L140" s="106">
        <f t="shared" si="106"/>
        <v>9.018799999999999E-2</v>
      </c>
      <c r="M140" s="106">
        <f t="shared" si="106"/>
        <v>9.018799999999999E-2</v>
      </c>
      <c r="N140" s="106">
        <f t="shared" si="106"/>
        <v>9.018799999999999E-2</v>
      </c>
      <c r="O140" s="106">
        <f t="shared" si="106"/>
        <v>9.018799999999999E-2</v>
      </c>
      <c r="P140" s="106">
        <f t="shared" si="106"/>
        <v>9.018799999999999E-2</v>
      </c>
      <c r="Q140" s="106">
        <f t="shared" si="106"/>
        <v>9.018799999999999E-2</v>
      </c>
      <c r="R140" s="106">
        <f t="shared" si="106"/>
        <v>9.018799999999999E-2</v>
      </c>
      <c r="S140" s="106">
        <f t="shared" si="106"/>
        <v>9.018799999999999E-2</v>
      </c>
      <c r="T140" s="106">
        <f t="shared" si="106"/>
        <v>9.018799999999999E-2</v>
      </c>
      <c r="U140" s="106">
        <f t="shared" si="106"/>
        <v>9.018799999999999E-2</v>
      </c>
      <c r="V140" s="106">
        <f t="shared" si="106"/>
        <v>9.018799999999999E-2</v>
      </c>
      <c r="W140" s="106">
        <f t="shared" si="106"/>
        <v>9.018799999999999E-2</v>
      </c>
      <c r="X140" s="189">
        <f t="shared" si="110"/>
        <v>2.2364432499999989</v>
      </c>
      <c r="Y140" s="106">
        <f t="shared" si="107"/>
        <v>0.11182216249999995</v>
      </c>
      <c r="Z140" s="190">
        <f t="shared" si="108"/>
        <v>1.6998396782718368</v>
      </c>
    </row>
    <row r="141" spans="1:28">
      <c r="A141" s="13"/>
      <c r="B141" s="13"/>
      <c r="C141" s="13" t="s">
        <v>310</v>
      </c>
      <c r="D141" s="106">
        <f>D68+D74</f>
        <v>0.255432675</v>
      </c>
      <c r="E141" s="106">
        <f t="shared" si="106"/>
        <v>6.8222100000000008E-2</v>
      </c>
      <c r="F141" s="106">
        <f t="shared" si="106"/>
        <v>6.8222100000000008E-2</v>
      </c>
      <c r="G141" s="106">
        <f t="shared" si="106"/>
        <v>6.8222100000000008E-2</v>
      </c>
      <c r="H141" s="106">
        <f t="shared" si="106"/>
        <v>6.8222100000000008E-2</v>
      </c>
      <c r="I141" s="106">
        <f t="shared" si="106"/>
        <v>6.8222100000000008E-2</v>
      </c>
      <c r="J141" s="106">
        <f t="shared" si="106"/>
        <v>6.8222100000000008E-2</v>
      </c>
      <c r="K141" s="106">
        <f t="shared" si="106"/>
        <v>6.8222100000000008E-2</v>
      </c>
      <c r="L141" s="106">
        <f t="shared" si="106"/>
        <v>6.8222100000000008E-2</v>
      </c>
      <c r="M141" s="106">
        <f t="shared" si="106"/>
        <v>6.8222100000000008E-2</v>
      </c>
      <c r="N141" s="106">
        <f t="shared" si="106"/>
        <v>6.8222100000000008E-2</v>
      </c>
      <c r="O141" s="106">
        <f t="shared" si="106"/>
        <v>6.8222100000000008E-2</v>
      </c>
      <c r="P141" s="106">
        <f t="shared" si="106"/>
        <v>6.8222100000000008E-2</v>
      </c>
      <c r="Q141" s="106">
        <f t="shared" si="106"/>
        <v>6.8222100000000008E-2</v>
      </c>
      <c r="R141" s="106">
        <f t="shared" si="106"/>
        <v>6.8222100000000008E-2</v>
      </c>
      <c r="S141" s="106">
        <f t="shared" si="106"/>
        <v>6.8222100000000008E-2</v>
      </c>
      <c r="T141" s="106">
        <f t="shared" si="106"/>
        <v>6.8222100000000008E-2</v>
      </c>
      <c r="U141" s="106">
        <f t="shared" si="106"/>
        <v>6.8222100000000008E-2</v>
      </c>
      <c r="V141" s="106">
        <f t="shared" si="106"/>
        <v>6.8222100000000008E-2</v>
      </c>
      <c r="W141" s="106">
        <f t="shared" si="106"/>
        <v>6.8222100000000008E-2</v>
      </c>
      <c r="X141" s="189">
        <f t="shared" si="110"/>
        <v>1.551652575000001</v>
      </c>
      <c r="Y141" s="106">
        <f t="shared" si="107"/>
        <v>7.7582628750000049E-2</v>
      </c>
      <c r="Z141" s="190">
        <f t="shared" si="108"/>
        <v>1.150479781914816</v>
      </c>
    </row>
    <row r="142" spans="1:28">
      <c r="A142" s="13"/>
      <c r="B142" s="13"/>
      <c r="C142" s="16" t="s">
        <v>309</v>
      </c>
      <c r="D142" s="106">
        <f>D69+D75</f>
        <v>0.17127061500000001</v>
      </c>
      <c r="E142" s="106">
        <f t="shared" si="106"/>
        <v>6.8222100000000008E-2</v>
      </c>
      <c r="F142" s="106">
        <f t="shared" si="106"/>
        <v>6.8222100000000008E-2</v>
      </c>
      <c r="G142" s="106">
        <f t="shared" si="106"/>
        <v>6.8222100000000008E-2</v>
      </c>
      <c r="H142" s="106">
        <f t="shared" si="106"/>
        <v>6.8222100000000008E-2</v>
      </c>
      <c r="I142" s="106">
        <f t="shared" si="106"/>
        <v>6.8222100000000008E-2</v>
      </c>
      <c r="J142" s="106">
        <f t="shared" si="106"/>
        <v>6.8222100000000008E-2</v>
      </c>
      <c r="K142" s="106">
        <f t="shared" si="106"/>
        <v>6.8222100000000008E-2</v>
      </c>
      <c r="L142" s="106">
        <f t="shared" si="106"/>
        <v>6.8222100000000008E-2</v>
      </c>
      <c r="M142" s="106">
        <f t="shared" si="106"/>
        <v>6.8222100000000008E-2</v>
      </c>
      <c r="N142" s="106">
        <f t="shared" si="106"/>
        <v>6.8222100000000008E-2</v>
      </c>
      <c r="O142" s="106">
        <f t="shared" si="106"/>
        <v>6.8222100000000008E-2</v>
      </c>
      <c r="P142" s="106">
        <f t="shared" si="106"/>
        <v>6.8222100000000008E-2</v>
      </c>
      <c r="Q142" s="106">
        <f t="shared" si="106"/>
        <v>6.8222100000000008E-2</v>
      </c>
      <c r="R142" s="106">
        <f t="shared" si="106"/>
        <v>6.8222100000000008E-2</v>
      </c>
      <c r="S142" s="106">
        <f t="shared" si="106"/>
        <v>6.8222100000000008E-2</v>
      </c>
      <c r="T142" s="106">
        <f t="shared" si="106"/>
        <v>6.8222100000000008E-2</v>
      </c>
      <c r="U142" s="106">
        <f t="shared" si="106"/>
        <v>6.8222100000000008E-2</v>
      </c>
      <c r="V142" s="106">
        <f t="shared" si="106"/>
        <v>6.8222100000000008E-2</v>
      </c>
      <c r="W142" s="106">
        <f t="shared" si="106"/>
        <v>6.8222100000000008E-2</v>
      </c>
      <c r="X142" s="189">
        <f t="shared" si="110"/>
        <v>1.4674905150000008</v>
      </c>
      <c r="Y142" s="106">
        <f t="shared" si="107"/>
        <v>7.3374525750000044E-2</v>
      </c>
      <c r="Z142" s="190">
        <f t="shared" si="108"/>
        <v>1.0691637819148161</v>
      </c>
    </row>
    <row r="143" spans="1:28">
      <c r="A143" s="13"/>
      <c r="B143" s="13"/>
      <c r="C143" s="13" t="s">
        <v>308</v>
      </c>
      <c r="D143" s="106">
        <f>D76</f>
        <v>0.18329999999999999</v>
      </c>
      <c r="E143" s="106">
        <f t="shared" ref="E143:W148" si="111">E76</f>
        <v>0.18329999999999999</v>
      </c>
      <c r="F143" s="106">
        <f t="shared" si="111"/>
        <v>0.18329999999999999</v>
      </c>
      <c r="G143" s="106">
        <f t="shared" si="111"/>
        <v>0.18329999999999999</v>
      </c>
      <c r="H143" s="106">
        <f t="shared" si="111"/>
        <v>0.18329999999999999</v>
      </c>
      <c r="I143" s="106">
        <f t="shared" si="111"/>
        <v>0.18329999999999999</v>
      </c>
      <c r="J143" s="106">
        <f t="shared" si="111"/>
        <v>0.18329999999999999</v>
      </c>
      <c r="K143" s="106">
        <f t="shared" si="111"/>
        <v>0.18329999999999999</v>
      </c>
      <c r="L143" s="106">
        <f t="shared" si="111"/>
        <v>0.18329999999999999</v>
      </c>
      <c r="M143" s="106">
        <f t="shared" si="111"/>
        <v>0.18329999999999999</v>
      </c>
      <c r="N143" s="106">
        <f t="shared" si="111"/>
        <v>0.18329999999999999</v>
      </c>
      <c r="O143" s="106">
        <f t="shared" si="111"/>
        <v>0.18329999999999999</v>
      </c>
      <c r="P143" s="106">
        <f t="shared" si="111"/>
        <v>0.18329999999999999</v>
      </c>
      <c r="Q143" s="106">
        <f t="shared" si="111"/>
        <v>0.18329999999999999</v>
      </c>
      <c r="R143" s="106">
        <f t="shared" si="111"/>
        <v>0.18329999999999999</v>
      </c>
      <c r="S143" s="106">
        <f t="shared" si="111"/>
        <v>0.18329999999999999</v>
      </c>
      <c r="T143" s="106">
        <f t="shared" si="111"/>
        <v>0.18329999999999999</v>
      </c>
      <c r="U143" s="106">
        <f t="shared" si="111"/>
        <v>0.18329999999999999</v>
      </c>
      <c r="V143" s="106">
        <f t="shared" si="111"/>
        <v>0.18329999999999999</v>
      </c>
      <c r="W143" s="106">
        <f t="shared" si="111"/>
        <v>0.18329999999999999</v>
      </c>
      <c r="X143" s="189">
        <f t="shared" si="110"/>
        <v>3.6659999999999999</v>
      </c>
      <c r="Y143" s="106">
        <f t="shared" si="107"/>
        <v>0.18329999999999999</v>
      </c>
      <c r="Z143" s="190">
        <f t="shared" si="108"/>
        <v>2.6051335252478571</v>
      </c>
    </row>
    <row r="144" spans="1:28">
      <c r="A144" s="13"/>
      <c r="B144" s="13"/>
      <c r="C144" s="13" t="s">
        <v>307</v>
      </c>
      <c r="D144" s="106">
        <f t="shared" ref="D144:S148" si="112">D77</f>
        <v>8.2485000000000003E-2</v>
      </c>
      <c r="E144" s="106">
        <f t="shared" si="112"/>
        <v>8.2485000000000003E-2</v>
      </c>
      <c r="F144" s="106">
        <f t="shared" si="112"/>
        <v>8.2485000000000003E-2</v>
      </c>
      <c r="G144" s="106">
        <f t="shared" si="112"/>
        <v>8.2485000000000003E-2</v>
      </c>
      <c r="H144" s="106">
        <f t="shared" si="112"/>
        <v>8.2485000000000003E-2</v>
      </c>
      <c r="I144" s="106">
        <f t="shared" si="112"/>
        <v>8.2485000000000003E-2</v>
      </c>
      <c r="J144" s="106">
        <f t="shared" si="112"/>
        <v>8.2485000000000003E-2</v>
      </c>
      <c r="K144" s="106">
        <f t="shared" si="112"/>
        <v>8.2485000000000003E-2</v>
      </c>
      <c r="L144" s="106">
        <f t="shared" si="112"/>
        <v>8.2485000000000003E-2</v>
      </c>
      <c r="M144" s="106">
        <f t="shared" si="112"/>
        <v>8.2485000000000003E-2</v>
      </c>
      <c r="N144" s="106">
        <f t="shared" si="112"/>
        <v>8.2485000000000003E-2</v>
      </c>
      <c r="O144" s="106">
        <f t="shared" si="112"/>
        <v>8.2485000000000003E-2</v>
      </c>
      <c r="P144" s="106">
        <f t="shared" si="112"/>
        <v>8.2485000000000003E-2</v>
      </c>
      <c r="Q144" s="106">
        <f t="shared" si="112"/>
        <v>8.2485000000000003E-2</v>
      </c>
      <c r="R144" s="106">
        <f t="shared" si="112"/>
        <v>8.2485000000000003E-2</v>
      </c>
      <c r="S144" s="106">
        <f t="shared" si="112"/>
        <v>8.2485000000000003E-2</v>
      </c>
      <c r="T144" s="106">
        <f t="shared" si="111"/>
        <v>8.2485000000000003E-2</v>
      </c>
      <c r="U144" s="106">
        <f t="shared" si="111"/>
        <v>8.2485000000000003E-2</v>
      </c>
      <c r="V144" s="106">
        <f t="shared" si="111"/>
        <v>8.2485000000000003E-2</v>
      </c>
      <c r="W144" s="106">
        <f t="shared" si="111"/>
        <v>8.2485000000000003E-2</v>
      </c>
      <c r="X144" s="189">
        <f t="shared" si="110"/>
        <v>1.6496999999999997</v>
      </c>
      <c r="Y144" s="106">
        <f t="shared" si="107"/>
        <v>8.2484999999999989E-2</v>
      </c>
      <c r="Z144" s="190">
        <f t="shared" si="108"/>
        <v>1.1723100863615359</v>
      </c>
    </row>
    <row r="145" spans="1:28">
      <c r="A145" s="13"/>
      <c r="B145" s="13"/>
      <c r="C145" s="13" t="s">
        <v>306</v>
      </c>
      <c r="D145" s="106">
        <f t="shared" si="112"/>
        <v>3.7600000000000001E-2</v>
      </c>
      <c r="E145" s="106">
        <f t="shared" si="111"/>
        <v>3.7600000000000001E-2</v>
      </c>
      <c r="F145" s="106">
        <f t="shared" si="111"/>
        <v>3.7600000000000001E-2</v>
      </c>
      <c r="G145" s="106">
        <f t="shared" si="111"/>
        <v>3.7600000000000001E-2</v>
      </c>
      <c r="H145" s="106">
        <f t="shared" si="111"/>
        <v>3.7600000000000001E-2</v>
      </c>
      <c r="I145" s="106">
        <f t="shared" si="111"/>
        <v>3.7600000000000001E-2</v>
      </c>
      <c r="J145" s="106">
        <f t="shared" si="111"/>
        <v>3.7600000000000001E-2</v>
      </c>
      <c r="K145" s="106">
        <f t="shared" si="111"/>
        <v>3.7600000000000001E-2</v>
      </c>
      <c r="L145" s="106">
        <f t="shared" si="111"/>
        <v>3.7600000000000001E-2</v>
      </c>
      <c r="M145" s="106">
        <f t="shared" si="111"/>
        <v>3.7600000000000001E-2</v>
      </c>
      <c r="N145" s="106">
        <f t="shared" si="111"/>
        <v>3.7600000000000001E-2</v>
      </c>
      <c r="O145" s="106">
        <f t="shared" si="111"/>
        <v>3.7600000000000001E-2</v>
      </c>
      <c r="P145" s="106">
        <f t="shared" si="111"/>
        <v>3.7600000000000001E-2</v>
      </c>
      <c r="Q145" s="106">
        <f t="shared" si="111"/>
        <v>3.7600000000000001E-2</v>
      </c>
      <c r="R145" s="106">
        <f t="shared" si="111"/>
        <v>3.7600000000000001E-2</v>
      </c>
      <c r="S145" s="106">
        <f t="shared" si="111"/>
        <v>3.7600000000000001E-2</v>
      </c>
      <c r="T145" s="106">
        <f t="shared" si="111"/>
        <v>3.7600000000000001E-2</v>
      </c>
      <c r="U145" s="106">
        <f t="shared" si="111"/>
        <v>3.7600000000000001E-2</v>
      </c>
      <c r="V145" s="106">
        <f t="shared" si="111"/>
        <v>3.7600000000000001E-2</v>
      </c>
      <c r="W145" s="106">
        <f t="shared" si="111"/>
        <v>3.7600000000000001E-2</v>
      </c>
      <c r="X145" s="189">
        <f t="shared" si="110"/>
        <v>0.75199999999999989</v>
      </c>
      <c r="Y145" s="106">
        <f t="shared" si="107"/>
        <v>3.7599999999999995E-2</v>
      </c>
      <c r="Z145" s="190">
        <f t="shared" si="108"/>
        <v>0.53438636415340646</v>
      </c>
    </row>
    <row r="146" spans="1:28">
      <c r="A146" s="13"/>
      <c r="B146" s="13"/>
      <c r="C146" s="13" t="s">
        <v>305</v>
      </c>
      <c r="D146" s="106">
        <f t="shared" si="112"/>
        <v>9.8699999999999996E-2</v>
      </c>
      <c r="E146" s="106">
        <f t="shared" si="111"/>
        <v>9.8699999999999996E-2</v>
      </c>
      <c r="F146" s="106">
        <f t="shared" si="111"/>
        <v>9.8699999999999996E-2</v>
      </c>
      <c r="G146" s="106">
        <f t="shared" si="111"/>
        <v>9.8699999999999996E-2</v>
      </c>
      <c r="H146" s="106">
        <f t="shared" si="111"/>
        <v>9.8699999999999996E-2</v>
      </c>
      <c r="I146" s="106">
        <f t="shared" si="111"/>
        <v>9.8699999999999996E-2</v>
      </c>
      <c r="J146" s="106">
        <f t="shared" si="111"/>
        <v>9.8699999999999996E-2</v>
      </c>
      <c r="K146" s="106">
        <f t="shared" si="111"/>
        <v>9.8699999999999996E-2</v>
      </c>
      <c r="L146" s="106">
        <f t="shared" si="111"/>
        <v>9.8699999999999996E-2</v>
      </c>
      <c r="M146" s="106">
        <f t="shared" si="111"/>
        <v>9.8699999999999996E-2</v>
      </c>
      <c r="N146" s="106">
        <f t="shared" si="111"/>
        <v>9.8699999999999996E-2</v>
      </c>
      <c r="O146" s="106">
        <f t="shared" si="111"/>
        <v>9.8699999999999996E-2</v>
      </c>
      <c r="P146" s="106">
        <f t="shared" si="111"/>
        <v>9.8699999999999996E-2</v>
      </c>
      <c r="Q146" s="106">
        <f t="shared" si="111"/>
        <v>9.8699999999999996E-2</v>
      </c>
      <c r="R146" s="106">
        <f t="shared" si="111"/>
        <v>9.8699999999999996E-2</v>
      </c>
      <c r="S146" s="106">
        <f t="shared" si="111"/>
        <v>9.8699999999999996E-2</v>
      </c>
      <c r="T146" s="106">
        <f t="shared" si="111"/>
        <v>9.8699999999999996E-2</v>
      </c>
      <c r="U146" s="106">
        <f t="shared" si="111"/>
        <v>9.8699999999999996E-2</v>
      </c>
      <c r="V146" s="106">
        <f t="shared" si="111"/>
        <v>9.8699999999999996E-2</v>
      </c>
      <c r="W146" s="106">
        <f t="shared" si="111"/>
        <v>9.8699999999999996E-2</v>
      </c>
      <c r="X146" s="189">
        <f t="shared" si="110"/>
        <v>1.974</v>
      </c>
      <c r="Y146" s="106">
        <f t="shared" si="107"/>
        <v>9.8699999999999996E-2</v>
      </c>
      <c r="Z146" s="190">
        <f t="shared" si="108"/>
        <v>1.4027642059026921</v>
      </c>
    </row>
    <row r="147" spans="1:28">
      <c r="A147" s="13"/>
      <c r="B147" s="13"/>
      <c r="C147" s="13" t="s">
        <v>314</v>
      </c>
      <c r="D147" s="106">
        <f t="shared" si="112"/>
        <v>0.16450000000000001</v>
      </c>
      <c r="E147" s="106">
        <f t="shared" si="111"/>
        <v>0.16450000000000001</v>
      </c>
      <c r="F147" s="106">
        <f t="shared" si="111"/>
        <v>0.16450000000000001</v>
      </c>
      <c r="G147" s="106">
        <f t="shared" si="111"/>
        <v>0.16450000000000001</v>
      </c>
      <c r="H147" s="106">
        <f t="shared" si="111"/>
        <v>0.16450000000000001</v>
      </c>
      <c r="I147" s="106">
        <f t="shared" si="111"/>
        <v>0.16450000000000001</v>
      </c>
      <c r="J147" s="106">
        <f t="shared" si="111"/>
        <v>0.16450000000000001</v>
      </c>
      <c r="K147" s="106">
        <f t="shared" si="111"/>
        <v>0.16450000000000001</v>
      </c>
      <c r="L147" s="106">
        <f t="shared" si="111"/>
        <v>0.16450000000000001</v>
      </c>
      <c r="M147" s="106">
        <f t="shared" si="111"/>
        <v>0.16450000000000001</v>
      </c>
      <c r="N147" s="106">
        <f t="shared" si="111"/>
        <v>0.16450000000000001</v>
      </c>
      <c r="O147" s="106">
        <f t="shared" si="111"/>
        <v>0.16450000000000001</v>
      </c>
      <c r="P147" s="106">
        <f t="shared" si="111"/>
        <v>0.16450000000000001</v>
      </c>
      <c r="Q147" s="106">
        <f t="shared" si="111"/>
        <v>0.16450000000000001</v>
      </c>
      <c r="R147" s="106">
        <f t="shared" si="111"/>
        <v>0.16450000000000001</v>
      </c>
      <c r="S147" s="106">
        <f t="shared" si="111"/>
        <v>0.16450000000000001</v>
      </c>
      <c r="T147" s="106">
        <f t="shared" si="111"/>
        <v>0.16450000000000001</v>
      </c>
      <c r="U147" s="106">
        <f t="shared" si="111"/>
        <v>0.16450000000000001</v>
      </c>
      <c r="V147" s="106">
        <f t="shared" si="111"/>
        <v>0.16450000000000001</v>
      </c>
      <c r="W147" s="106">
        <f t="shared" si="111"/>
        <v>0.16450000000000001</v>
      </c>
      <c r="X147" s="189">
        <f t="shared" si="110"/>
        <v>3.2899999999999996</v>
      </c>
      <c r="Y147" s="106">
        <f t="shared" si="107"/>
        <v>0.16449999999999998</v>
      </c>
      <c r="Z147" s="190">
        <f t="shared" si="108"/>
        <v>2.3379403431711534</v>
      </c>
    </row>
    <row r="148" spans="1:28">
      <c r="A148" s="13"/>
      <c r="B148" s="13"/>
      <c r="C148" s="13" t="s">
        <v>315</v>
      </c>
      <c r="D148" s="106">
        <f t="shared" si="112"/>
        <v>9.1649999999999995E-2</v>
      </c>
      <c r="E148" s="106">
        <f t="shared" si="111"/>
        <v>9.1649999999999995E-2</v>
      </c>
      <c r="F148" s="106">
        <f t="shared" si="111"/>
        <v>9.1649999999999995E-2</v>
      </c>
      <c r="G148" s="106">
        <f t="shared" si="111"/>
        <v>9.1649999999999995E-2</v>
      </c>
      <c r="H148" s="106">
        <f t="shared" si="111"/>
        <v>9.1649999999999995E-2</v>
      </c>
      <c r="I148" s="106">
        <f t="shared" si="111"/>
        <v>9.1649999999999995E-2</v>
      </c>
      <c r="J148" s="106">
        <f t="shared" si="111"/>
        <v>9.1649999999999995E-2</v>
      </c>
      <c r="K148" s="106">
        <f t="shared" si="111"/>
        <v>9.1649999999999995E-2</v>
      </c>
      <c r="L148" s="106">
        <f t="shared" si="111"/>
        <v>9.1649999999999995E-2</v>
      </c>
      <c r="M148" s="106">
        <f t="shared" si="111"/>
        <v>9.1649999999999995E-2</v>
      </c>
      <c r="N148" s="106">
        <f t="shared" si="111"/>
        <v>9.1649999999999995E-2</v>
      </c>
      <c r="O148" s="106">
        <f t="shared" si="111"/>
        <v>9.1649999999999995E-2</v>
      </c>
      <c r="P148" s="106">
        <f t="shared" si="111"/>
        <v>9.1649999999999995E-2</v>
      </c>
      <c r="Q148" s="106">
        <f t="shared" si="111"/>
        <v>9.1649999999999995E-2</v>
      </c>
      <c r="R148" s="106">
        <f t="shared" si="111"/>
        <v>9.1649999999999995E-2</v>
      </c>
      <c r="S148" s="106">
        <f t="shared" si="111"/>
        <v>9.1649999999999995E-2</v>
      </c>
      <c r="T148" s="106">
        <f t="shared" si="111"/>
        <v>9.1649999999999995E-2</v>
      </c>
      <c r="U148" s="106">
        <f t="shared" si="111"/>
        <v>9.1649999999999995E-2</v>
      </c>
      <c r="V148" s="106">
        <f t="shared" si="111"/>
        <v>9.1649999999999995E-2</v>
      </c>
      <c r="W148" s="106">
        <f t="shared" si="111"/>
        <v>9.1649999999999995E-2</v>
      </c>
      <c r="X148" s="189">
        <f t="shared" si="110"/>
        <v>1.833</v>
      </c>
      <c r="Y148" s="106">
        <f t="shared" si="107"/>
        <v>9.1649999999999995E-2</v>
      </c>
      <c r="Z148" s="190">
        <f t="shared" si="108"/>
        <v>1.3025667626239286</v>
      </c>
      <c r="AB148" s="193"/>
    </row>
    <row r="149" spans="1:28">
      <c r="A149" s="15"/>
      <c r="B149" s="15"/>
      <c r="C149" s="15"/>
      <c r="D149" s="191"/>
      <c r="E149" s="191"/>
      <c r="F149" s="191"/>
      <c r="G149" s="191"/>
      <c r="H149" s="191"/>
      <c r="I149" s="191"/>
      <c r="J149" s="191"/>
      <c r="K149" s="191"/>
      <c r="L149" s="191"/>
      <c r="M149" s="191"/>
      <c r="N149" s="191"/>
      <c r="O149" s="191"/>
      <c r="P149" s="191"/>
      <c r="Q149" s="191"/>
      <c r="R149" s="191"/>
      <c r="S149" s="191"/>
      <c r="T149" s="191"/>
      <c r="U149" s="191"/>
      <c r="V149" s="191"/>
      <c r="W149" s="191"/>
      <c r="X149" s="192"/>
      <c r="Y149" s="191"/>
      <c r="Z149" s="194"/>
      <c r="AB149" s="193"/>
    </row>
    <row r="150" spans="1:28">
      <c r="A150" s="13"/>
      <c r="B150" s="3" t="s">
        <v>302</v>
      </c>
      <c r="C150" s="13"/>
      <c r="D150" s="13"/>
      <c r="E150" s="13"/>
      <c r="F150" s="13"/>
      <c r="G150" s="13"/>
      <c r="H150" s="13"/>
      <c r="I150" s="13"/>
      <c r="J150" s="13"/>
      <c r="K150" s="13"/>
      <c r="L150" s="13"/>
      <c r="M150" s="13"/>
      <c r="N150" s="13"/>
      <c r="O150" s="13"/>
      <c r="P150" s="13"/>
      <c r="Q150" s="13"/>
      <c r="R150" s="13"/>
      <c r="S150" s="13"/>
      <c r="T150" s="13"/>
      <c r="U150" s="13"/>
      <c r="V150" s="13"/>
      <c r="W150" s="13"/>
      <c r="X150" s="189"/>
      <c r="Y150" s="13"/>
      <c r="Z150" s="121"/>
    </row>
    <row r="151" spans="1:28">
      <c r="A151" s="13"/>
      <c r="B151" s="13"/>
      <c r="C151" s="13" t="s">
        <v>303</v>
      </c>
      <c r="D151" s="106">
        <f>D90+D92</f>
        <v>0.5228712499999999</v>
      </c>
      <c r="E151" s="106">
        <f t="shared" ref="E151:V151" si="113">E90+E92</f>
        <v>9.018799999999999E-2</v>
      </c>
      <c r="F151" s="106">
        <f t="shared" si="113"/>
        <v>9.018799999999999E-2</v>
      </c>
      <c r="G151" s="106">
        <f t="shared" si="113"/>
        <v>9.018799999999999E-2</v>
      </c>
      <c r="H151" s="106">
        <f t="shared" si="113"/>
        <v>9.018799999999999E-2</v>
      </c>
      <c r="I151" s="106">
        <f t="shared" si="113"/>
        <v>9.018799999999999E-2</v>
      </c>
      <c r="J151" s="106">
        <f t="shared" si="113"/>
        <v>9.018799999999999E-2</v>
      </c>
      <c r="K151" s="106">
        <f t="shared" si="113"/>
        <v>9.018799999999999E-2</v>
      </c>
      <c r="L151" s="106">
        <f t="shared" si="113"/>
        <v>9.018799999999999E-2</v>
      </c>
      <c r="M151" s="106">
        <f t="shared" si="113"/>
        <v>9.018799999999999E-2</v>
      </c>
      <c r="N151" s="106">
        <f t="shared" si="113"/>
        <v>9.018799999999999E-2</v>
      </c>
      <c r="O151" s="106">
        <f t="shared" si="113"/>
        <v>9.018799999999999E-2</v>
      </c>
      <c r="P151" s="106">
        <f t="shared" si="113"/>
        <v>9.018799999999999E-2</v>
      </c>
      <c r="Q151" s="106">
        <f t="shared" si="113"/>
        <v>9.018799999999999E-2</v>
      </c>
      <c r="R151" s="106">
        <f t="shared" si="113"/>
        <v>9.018799999999999E-2</v>
      </c>
      <c r="S151" s="106">
        <f t="shared" si="113"/>
        <v>9.018799999999999E-2</v>
      </c>
      <c r="T151" s="106">
        <f t="shared" si="113"/>
        <v>9.018799999999999E-2</v>
      </c>
      <c r="U151" s="106">
        <f t="shared" si="113"/>
        <v>9.018799999999999E-2</v>
      </c>
      <c r="V151" s="106">
        <f t="shared" si="113"/>
        <v>9.018799999999999E-2</v>
      </c>
      <c r="W151" s="106">
        <f>W90+W92</f>
        <v>9.018799999999999E-2</v>
      </c>
      <c r="X151" s="189">
        <f>SUM(D151:W151)</f>
        <v>2.2364432499999989</v>
      </c>
      <c r="Y151" s="106">
        <f t="shared" ref="Y151:Y152" si="114">X151/20</f>
        <v>0.11182216249999995</v>
      </c>
      <c r="Z151" s="190">
        <f t="shared" ref="Z151:Z152" si="115">NPV(3.5%,D151:W151)</f>
        <v>1.6998396782718368</v>
      </c>
    </row>
    <row r="152" spans="1:28">
      <c r="A152" s="13"/>
      <c r="B152" s="13"/>
      <c r="C152" s="13" t="s">
        <v>304</v>
      </c>
      <c r="D152" s="106">
        <f>D93</f>
        <v>6.7267516249999992E-2</v>
      </c>
      <c r="E152" s="106">
        <f t="shared" ref="E152:W152" si="116">E93</f>
        <v>6.7267516249999992E-2</v>
      </c>
      <c r="F152" s="106">
        <f t="shared" si="116"/>
        <v>6.7267516249999992E-2</v>
      </c>
      <c r="G152" s="106">
        <f t="shared" si="116"/>
        <v>6.7267516249999992E-2</v>
      </c>
      <c r="H152" s="106">
        <f t="shared" si="116"/>
        <v>6.7267516249999992E-2</v>
      </c>
      <c r="I152" s="106">
        <f t="shared" si="116"/>
        <v>6.7267516249999992E-2</v>
      </c>
      <c r="J152" s="106">
        <f t="shared" si="116"/>
        <v>6.7267516249999992E-2</v>
      </c>
      <c r="K152" s="106">
        <f t="shared" si="116"/>
        <v>6.7267516249999992E-2</v>
      </c>
      <c r="L152" s="106">
        <f t="shared" si="116"/>
        <v>6.7267516249999992E-2</v>
      </c>
      <c r="M152" s="106">
        <f t="shared" si="116"/>
        <v>6.7267516249999992E-2</v>
      </c>
      <c r="N152" s="106">
        <f t="shared" si="116"/>
        <v>6.7267516249999992E-2</v>
      </c>
      <c r="O152" s="106">
        <f t="shared" si="116"/>
        <v>6.7267516249999992E-2</v>
      </c>
      <c r="P152" s="106">
        <f t="shared" si="116"/>
        <v>6.7267516249999992E-2</v>
      </c>
      <c r="Q152" s="106">
        <f t="shared" si="116"/>
        <v>6.7267516249999992E-2</v>
      </c>
      <c r="R152" s="106">
        <f t="shared" si="116"/>
        <v>6.7267516249999992E-2</v>
      </c>
      <c r="S152" s="106">
        <f t="shared" si="116"/>
        <v>6.7267516249999992E-2</v>
      </c>
      <c r="T152" s="106">
        <f t="shared" si="116"/>
        <v>6.7267516249999992E-2</v>
      </c>
      <c r="U152" s="106">
        <f t="shared" si="116"/>
        <v>6.7267516249999992E-2</v>
      </c>
      <c r="V152" s="106">
        <f t="shared" si="116"/>
        <v>6.7267516249999992E-2</v>
      </c>
      <c r="W152" s="106">
        <f t="shared" si="116"/>
        <v>6.7267516249999992E-2</v>
      </c>
      <c r="X152" s="189">
        <f>SUM(D152:W152)</f>
        <v>1.3453503250000005</v>
      </c>
      <c r="Y152" s="106">
        <f t="shared" si="114"/>
        <v>6.726751625000002E-2</v>
      </c>
      <c r="Z152" s="190">
        <f t="shared" si="115"/>
        <v>0.95603307006562988</v>
      </c>
    </row>
    <row r="153" spans="1:28">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33"/>
      <c r="Y153" s="15"/>
      <c r="Z153" s="187"/>
    </row>
    <row r="154" spans="1:28">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row>
    <row r="155" spans="1:28">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row>
    <row r="156" spans="1:28" ht="24.75" customHeight="1">
      <c r="A156" s="220" t="s">
        <v>316</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2"/>
      <c r="AB156" s="230" t="s">
        <v>323</v>
      </c>
    </row>
    <row r="157" spans="1:28">
      <c r="A157" s="197"/>
      <c r="B157" s="182"/>
      <c r="C157" s="183" t="s">
        <v>4</v>
      </c>
      <c r="D157" s="198">
        <v>2013</v>
      </c>
      <c r="E157" s="198">
        <v>2014</v>
      </c>
      <c r="F157" s="198">
        <v>2015</v>
      </c>
      <c r="G157" s="198">
        <v>2016</v>
      </c>
      <c r="H157" s="198">
        <v>2017</v>
      </c>
      <c r="I157" s="198">
        <v>2018</v>
      </c>
      <c r="J157" s="198">
        <v>2019</v>
      </c>
      <c r="K157" s="198">
        <v>2020</v>
      </c>
      <c r="L157" s="198">
        <v>2021</v>
      </c>
      <c r="M157" s="198">
        <v>2022</v>
      </c>
      <c r="N157" s="198">
        <v>2023</v>
      </c>
      <c r="O157" s="198">
        <v>2024</v>
      </c>
      <c r="P157" s="198">
        <v>2025</v>
      </c>
      <c r="Q157" s="198">
        <v>2026</v>
      </c>
      <c r="R157" s="198">
        <v>2027</v>
      </c>
      <c r="S157" s="198">
        <v>2028</v>
      </c>
      <c r="T157" s="198">
        <v>2029</v>
      </c>
      <c r="U157" s="198">
        <v>2030</v>
      </c>
      <c r="V157" s="198">
        <v>2031</v>
      </c>
      <c r="W157" s="198">
        <v>2032</v>
      </c>
      <c r="X157" s="225" t="s">
        <v>5</v>
      </c>
      <c r="Y157" s="227" t="s">
        <v>317</v>
      </c>
      <c r="Z157" s="223" t="s">
        <v>238</v>
      </c>
      <c r="AB157" s="230"/>
    </row>
    <row r="158" spans="1:28">
      <c r="A158" s="128"/>
      <c r="B158" s="199"/>
      <c r="C158" s="130" t="s">
        <v>321</v>
      </c>
      <c r="D158" s="200">
        <v>1</v>
      </c>
      <c r="E158" s="200">
        <v>2</v>
      </c>
      <c r="F158" s="200">
        <v>3</v>
      </c>
      <c r="G158" s="200">
        <v>4</v>
      </c>
      <c r="H158" s="200">
        <v>5</v>
      </c>
      <c r="I158" s="200">
        <v>6</v>
      </c>
      <c r="J158" s="200">
        <v>7</v>
      </c>
      <c r="K158" s="200">
        <v>8</v>
      </c>
      <c r="L158" s="200">
        <v>9</v>
      </c>
      <c r="M158" s="200">
        <v>10</v>
      </c>
      <c r="N158" s="200">
        <v>11</v>
      </c>
      <c r="O158" s="200">
        <v>12</v>
      </c>
      <c r="P158" s="200">
        <v>13</v>
      </c>
      <c r="Q158" s="200">
        <v>14</v>
      </c>
      <c r="R158" s="200">
        <v>15</v>
      </c>
      <c r="S158" s="200">
        <v>16</v>
      </c>
      <c r="T158" s="200">
        <v>17</v>
      </c>
      <c r="U158" s="200">
        <v>18</v>
      </c>
      <c r="V158" s="200">
        <v>19</v>
      </c>
      <c r="W158" s="200">
        <v>20</v>
      </c>
      <c r="X158" s="226"/>
      <c r="Y158" s="228"/>
      <c r="Z158" s="224"/>
      <c r="AB158" s="230"/>
    </row>
    <row r="159" spans="1:28">
      <c r="B159" s="1" t="s">
        <v>297</v>
      </c>
      <c r="X159" s="30"/>
      <c r="Z159" s="121"/>
    </row>
    <row r="160" spans="1:28">
      <c r="C160" s="16" t="s">
        <v>313</v>
      </c>
      <c r="D160" s="193">
        <f t="shared" ref="D160:W160" si="117">(D120+D138)*$AB160</f>
        <v>0.49036174999999999</v>
      </c>
      <c r="E160" s="193">
        <f t="shared" si="117"/>
        <v>9.018799999999999E-2</v>
      </c>
      <c r="F160" s="193">
        <f t="shared" si="117"/>
        <v>9.018799999999999E-2</v>
      </c>
      <c r="G160" s="193">
        <f t="shared" si="117"/>
        <v>9.018799999999999E-2</v>
      </c>
      <c r="H160" s="193">
        <f t="shared" si="117"/>
        <v>9.018799999999999E-2</v>
      </c>
      <c r="I160" s="193">
        <f t="shared" si="117"/>
        <v>9.018799999999999E-2</v>
      </c>
      <c r="J160" s="193">
        <f t="shared" si="117"/>
        <v>9.018799999999999E-2</v>
      </c>
      <c r="K160" s="193">
        <f t="shared" si="117"/>
        <v>9.018799999999999E-2</v>
      </c>
      <c r="L160" s="193">
        <f t="shared" si="117"/>
        <v>9.018799999999999E-2</v>
      </c>
      <c r="M160" s="193">
        <f t="shared" si="117"/>
        <v>9.018799999999999E-2</v>
      </c>
      <c r="N160" s="193">
        <f t="shared" si="117"/>
        <v>9.018799999999999E-2</v>
      </c>
      <c r="O160" s="193">
        <f t="shared" si="117"/>
        <v>9.018799999999999E-2</v>
      </c>
      <c r="P160" s="193">
        <f t="shared" si="117"/>
        <v>9.018799999999999E-2</v>
      </c>
      <c r="Q160" s="193">
        <f t="shared" si="117"/>
        <v>9.018799999999999E-2</v>
      </c>
      <c r="R160" s="193">
        <f t="shared" si="117"/>
        <v>9.018799999999999E-2</v>
      </c>
      <c r="S160" s="193">
        <f t="shared" si="117"/>
        <v>9.018799999999999E-2</v>
      </c>
      <c r="T160" s="193">
        <f t="shared" si="117"/>
        <v>9.018799999999999E-2</v>
      </c>
      <c r="U160" s="193">
        <f t="shared" si="117"/>
        <v>9.018799999999999E-2</v>
      </c>
      <c r="V160" s="193">
        <f t="shared" si="117"/>
        <v>9.018799999999999E-2</v>
      </c>
      <c r="W160" s="193">
        <f t="shared" si="117"/>
        <v>9.018799999999999E-2</v>
      </c>
      <c r="X160" s="189">
        <f>SUM(D160:W160)</f>
        <v>2.2039337499999991</v>
      </c>
      <c r="Y160" s="106">
        <f t="shared" ref="Y160:Y170" si="118">X160/20</f>
        <v>0.11019668749999996</v>
      </c>
      <c r="Z160" s="190">
        <f t="shared" ref="Z160:Z170" si="119">NPV(3.5%,D160:W160)</f>
        <v>1.6684295333443007</v>
      </c>
      <c r="AB160" s="196">
        <v>0.5</v>
      </c>
    </row>
    <row r="161" spans="1:28">
      <c r="C161" s="16" t="s">
        <v>312</v>
      </c>
      <c r="D161" s="193">
        <f t="shared" ref="D161:W161" si="120">(D121+D139)*$AB161</f>
        <v>0.70251687499999993</v>
      </c>
      <c r="E161" s="193">
        <f t="shared" si="120"/>
        <v>0.13550000000000001</v>
      </c>
      <c r="F161" s="193">
        <f t="shared" si="120"/>
        <v>0.13550000000000001</v>
      </c>
      <c r="G161" s="193">
        <f t="shared" si="120"/>
        <v>0.13550000000000001</v>
      </c>
      <c r="H161" s="193">
        <f t="shared" si="120"/>
        <v>0.13550000000000001</v>
      </c>
      <c r="I161" s="193">
        <f t="shared" si="120"/>
        <v>0.13550000000000001</v>
      </c>
      <c r="J161" s="193">
        <f t="shared" si="120"/>
        <v>0.13550000000000001</v>
      </c>
      <c r="K161" s="193">
        <f t="shared" si="120"/>
        <v>0.13550000000000001</v>
      </c>
      <c r="L161" s="193">
        <f t="shared" si="120"/>
        <v>0.13550000000000001</v>
      </c>
      <c r="M161" s="193">
        <f t="shared" si="120"/>
        <v>0.13550000000000001</v>
      </c>
      <c r="N161" s="193">
        <f t="shared" si="120"/>
        <v>0.13550000000000001</v>
      </c>
      <c r="O161" s="193">
        <f t="shared" si="120"/>
        <v>0.13550000000000001</v>
      </c>
      <c r="P161" s="193">
        <f t="shared" si="120"/>
        <v>0.13550000000000001</v>
      </c>
      <c r="Q161" s="193">
        <f t="shared" si="120"/>
        <v>0.13550000000000001</v>
      </c>
      <c r="R161" s="193">
        <f t="shared" si="120"/>
        <v>0.13550000000000001</v>
      </c>
      <c r="S161" s="193">
        <f t="shared" si="120"/>
        <v>0.13550000000000001</v>
      </c>
      <c r="T161" s="193">
        <f t="shared" si="120"/>
        <v>0.13550000000000001</v>
      </c>
      <c r="U161" s="193">
        <f t="shared" si="120"/>
        <v>0.13550000000000001</v>
      </c>
      <c r="V161" s="193">
        <f t="shared" si="120"/>
        <v>0.13550000000000001</v>
      </c>
      <c r="W161" s="193">
        <f t="shared" si="120"/>
        <v>0.13550000000000001</v>
      </c>
      <c r="X161" s="189">
        <f t="shared" ref="X161:X175" si="121">SUM(D161:W161)</f>
        <v>3.2770168749999993</v>
      </c>
      <c r="Y161" s="106">
        <f t="shared" si="118"/>
        <v>0.16385084374999997</v>
      </c>
      <c r="Z161" s="190">
        <f t="shared" si="119"/>
        <v>2.4736230387188844</v>
      </c>
      <c r="AB161" s="196">
        <v>0.5</v>
      </c>
    </row>
    <row r="162" spans="1:28">
      <c r="C162" s="16" t="s">
        <v>311</v>
      </c>
      <c r="D162" s="193">
        <f t="shared" ref="D162:W162" si="122">(D122+D140)*$AB162</f>
        <v>0.26143562499999995</v>
      </c>
      <c r="E162" s="193">
        <f t="shared" si="122"/>
        <v>4.5093999999999995E-2</v>
      </c>
      <c r="F162" s="193">
        <f t="shared" si="122"/>
        <v>4.5093999999999995E-2</v>
      </c>
      <c r="G162" s="193">
        <f t="shared" si="122"/>
        <v>4.5093999999999995E-2</v>
      </c>
      <c r="H162" s="193">
        <f t="shared" si="122"/>
        <v>4.5093999999999995E-2</v>
      </c>
      <c r="I162" s="193">
        <f t="shared" si="122"/>
        <v>4.5093999999999995E-2</v>
      </c>
      <c r="J162" s="193">
        <f t="shared" si="122"/>
        <v>4.5093999999999995E-2</v>
      </c>
      <c r="K162" s="193">
        <f t="shared" si="122"/>
        <v>4.5093999999999995E-2</v>
      </c>
      <c r="L162" s="193">
        <f t="shared" si="122"/>
        <v>4.5093999999999995E-2</v>
      </c>
      <c r="M162" s="193">
        <f t="shared" si="122"/>
        <v>4.5093999999999995E-2</v>
      </c>
      <c r="N162" s="193">
        <f t="shared" si="122"/>
        <v>4.5093999999999995E-2</v>
      </c>
      <c r="O162" s="193">
        <f t="shared" si="122"/>
        <v>4.5093999999999995E-2</v>
      </c>
      <c r="P162" s="193">
        <f t="shared" si="122"/>
        <v>4.5093999999999995E-2</v>
      </c>
      <c r="Q162" s="193">
        <f t="shared" si="122"/>
        <v>4.5093999999999995E-2</v>
      </c>
      <c r="R162" s="193">
        <f t="shared" si="122"/>
        <v>4.5093999999999995E-2</v>
      </c>
      <c r="S162" s="193">
        <f t="shared" si="122"/>
        <v>4.5093999999999995E-2</v>
      </c>
      <c r="T162" s="193">
        <f t="shared" si="122"/>
        <v>4.5093999999999995E-2</v>
      </c>
      <c r="U162" s="193">
        <f t="shared" si="122"/>
        <v>4.5093999999999995E-2</v>
      </c>
      <c r="V162" s="193">
        <f t="shared" si="122"/>
        <v>4.5093999999999995E-2</v>
      </c>
      <c r="W162" s="193">
        <f t="shared" si="122"/>
        <v>4.5093999999999995E-2</v>
      </c>
      <c r="X162" s="189">
        <f t="shared" si="121"/>
        <v>1.1182216249999994</v>
      </c>
      <c r="Y162" s="106">
        <f t="shared" si="118"/>
        <v>5.5911081249999973E-2</v>
      </c>
      <c r="Z162" s="190">
        <f t="shared" si="119"/>
        <v>0.8499198391359184</v>
      </c>
      <c r="AB162" s="196">
        <v>0.5</v>
      </c>
    </row>
    <row r="163" spans="1:28">
      <c r="C163" s="13" t="s">
        <v>310</v>
      </c>
      <c r="D163" s="193">
        <f t="shared" ref="D163:W163" si="123">(D123+D141)*$AB163</f>
        <v>0.255432675</v>
      </c>
      <c r="E163" s="193">
        <f t="shared" si="123"/>
        <v>6.8222100000000008E-2</v>
      </c>
      <c r="F163" s="193">
        <f t="shared" si="123"/>
        <v>6.8222100000000008E-2</v>
      </c>
      <c r="G163" s="193">
        <f t="shared" si="123"/>
        <v>6.8222100000000008E-2</v>
      </c>
      <c r="H163" s="193">
        <f t="shared" si="123"/>
        <v>6.8222100000000008E-2</v>
      </c>
      <c r="I163" s="193">
        <f t="shared" si="123"/>
        <v>6.8222100000000008E-2</v>
      </c>
      <c r="J163" s="193">
        <f t="shared" si="123"/>
        <v>6.8222100000000008E-2</v>
      </c>
      <c r="K163" s="193">
        <f t="shared" si="123"/>
        <v>6.8222100000000008E-2</v>
      </c>
      <c r="L163" s="193">
        <f t="shared" si="123"/>
        <v>6.8222100000000008E-2</v>
      </c>
      <c r="M163" s="193">
        <f t="shared" si="123"/>
        <v>6.8222100000000008E-2</v>
      </c>
      <c r="N163" s="193">
        <f t="shared" si="123"/>
        <v>6.8222100000000008E-2</v>
      </c>
      <c r="O163" s="193">
        <f t="shared" si="123"/>
        <v>6.8222100000000008E-2</v>
      </c>
      <c r="P163" s="193">
        <f t="shared" si="123"/>
        <v>6.8222100000000008E-2</v>
      </c>
      <c r="Q163" s="193">
        <f t="shared" si="123"/>
        <v>6.8222100000000008E-2</v>
      </c>
      <c r="R163" s="193">
        <f t="shared" si="123"/>
        <v>6.8222100000000008E-2</v>
      </c>
      <c r="S163" s="193">
        <f t="shared" si="123"/>
        <v>6.8222100000000008E-2</v>
      </c>
      <c r="T163" s="193">
        <f t="shared" si="123"/>
        <v>6.8222100000000008E-2</v>
      </c>
      <c r="U163" s="193">
        <f t="shared" si="123"/>
        <v>6.8222100000000008E-2</v>
      </c>
      <c r="V163" s="193">
        <f t="shared" si="123"/>
        <v>6.8222100000000008E-2</v>
      </c>
      <c r="W163" s="193">
        <f t="shared" si="123"/>
        <v>6.8222100000000008E-2</v>
      </c>
      <c r="X163" s="189">
        <f t="shared" si="121"/>
        <v>1.551652575000001</v>
      </c>
      <c r="Y163" s="106">
        <f t="shared" si="118"/>
        <v>7.7582628750000049E-2</v>
      </c>
      <c r="Z163" s="190">
        <f t="shared" si="119"/>
        <v>1.150479781914816</v>
      </c>
      <c r="AB163" s="196">
        <v>0.5</v>
      </c>
    </row>
    <row r="164" spans="1:28">
      <c r="C164" s="16" t="s">
        <v>309</v>
      </c>
      <c r="D164" s="193">
        <f t="shared" ref="D164:W164" si="124">(D124+D142)*$AB164</f>
        <v>0.17127061500000001</v>
      </c>
      <c r="E164" s="193">
        <f t="shared" si="124"/>
        <v>6.8222100000000008E-2</v>
      </c>
      <c r="F164" s="193">
        <f t="shared" si="124"/>
        <v>6.8222100000000008E-2</v>
      </c>
      <c r="G164" s="193">
        <f t="shared" si="124"/>
        <v>6.8222100000000008E-2</v>
      </c>
      <c r="H164" s="193">
        <f t="shared" si="124"/>
        <v>6.8222100000000008E-2</v>
      </c>
      <c r="I164" s="193">
        <f t="shared" si="124"/>
        <v>6.8222100000000008E-2</v>
      </c>
      <c r="J164" s="193">
        <f t="shared" si="124"/>
        <v>6.8222100000000008E-2</v>
      </c>
      <c r="K164" s="193">
        <f t="shared" si="124"/>
        <v>6.8222100000000008E-2</v>
      </c>
      <c r="L164" s="193">
        <f t="shared" si="124"/>
        <v>6.8222100000000008E-2</v>
      </c>
      <c r="M164" s="193">
        <f t="shared" si="124"/>
        <v>6.8222100000000008E-2</v>
      </c>
      <c r="N164" s="193">
        <f t="shared" si="124"/>
        <v>6.8222100000000008E-2</v>
      </c>
      <c r="O164" s="193">
        <f t="shared" si="124"/>
        <v>6.8222100000000008E-2</v>
      </c>
      <c r="P164" s="193">
        <f t="shared" si="124"/>
        <v>6.8222100000000008E-2</v>
      </c>
      <c r="Q164" s="193">
        <f t="shared" si="124"/>
        <v>6.8222100000000008E-2</v>
      </c>
      <c r="R164" s="193">
        <f t="shared" si="124"/>
        <v>6.8222100000000008E-2</v>
      </c>
      <c r="S164" s="193">
        <f t="shared" si="124"/>
        <v>6.8222100000000008E-2</v>
      </c>
      <c r="T164" s="193">
        <f t="shared" si="124"/>
        <v>6.8222100000000008E-2</v>
      </c>
      <c r="U164" s="193">
        <f t="shared" si="124"/>
        <v>6.8222100000000008E-2</v>
      </c>
      <c r="V164" s="193">
        <f t="shared" si="124"/>
        <v>6.8222100000000008E-2</v>
      </c>
      <c r="W164" s="193">
        <f t="shared" si="124"/>
        <v>6.8222100000000008E-2</v>
      </c>
      <c r="X164" s="189">
        <f t="shared" si="121"/>
        <v>1.4674905150000008</v>
      </c>
      <c r="Y164" s="106">
        <f t="shared" si="118"/>
        <v>7.3374525750000044E-2</v>
      </c>
      <c r="Z164" s="190">
        <f t="shared" si="119"/>
        <v>1.0691637819148161</v>
      </c>
      <c r="AB164" s="196">
        <v>0.5</v>
      </c>
    </row>
    <row r="165" spans="1:28">
      <c r="C165" s="13" t="s">
        <v>308</v>
      </c>
      <c r="D165" s="193">
        <f t="shared" ref="D165:W165" si="125">(D125+D143)*$AB165</f>
        <v>0.18329999999999999</v>
      </c>
      <c r="E165" s="193">
        <f t="shared" si="125"/>
        <v>0.18329999999999999</v>
      </c>
      <c r="F165" s="193">
        <f t="shared" si="125"/>
        <v>0.18329999999999999</v>
      </c>
      <c r="G165" s="193">
        <f t="shared" si="125"/>
        <v>0.18329999999999999</v>
      </c>
      <c r="H165" s="193">
        <f t="shared" si="125"/>
        <v>0.18329999999999999</v>
      </c>
      <c r="I165" s="193">
        <f t="shared" si="125"/>
        <v>0.18329999999999999</v>
      </c>
      <c r="J165" s="193">
        <f t="shared" si="125"/>
        <v>0.18329999999999999</v>
      </c>
      <c r="K165" s="193">
        <f t="shared" si="125"/>
        <v>0.18329999999999999</v>
      </c>
      <c r="L165" s="193">
        <f t="shared" si="125"/>
        <v>0.18329999999999999</v>
      </c>
      <c r="M165" s="193">
        <f t="shared" si="125"/>
        <v>0.18329999999999999</v>
      </c>
      <c r="N165" s="193">
        <f t="shared" si="125"/>
        <v>0.18329999999999999</v>
      </c>
      <c r="O165" s="193">
        <f t="shared" si="125"/>
        <v>0.18329999999999999</v>
      </c>
      <c r="P165" s="193">
        <f t="shared" si="125"/>
        <v>0.18329999999999999</v>
      </c>
      <c r="Q165" s="193">
        <f t="shared" si="125"/>
        <v>0.18329999999999999</v>
      </c>
      <c r="R165" s="193">
        <f t="shared" si="125"/>
        <v>0.18329999999999999</v>
      </c>
      <c r="S165" s="193">
        <f t="shared" si="125"/>
        <v>0.18329999999999999</v>
      </c>
      <c r="T165" s="193">
        <f t="shared" si="125"/>
        <v>0.18329999999999999</v>
      </c>
      <c r="U165" s="193">
        <f t="shared" si="125"/>
        <v>0.18329999999999999</v>
      </c>
      <c r="V165" s="193">
        <f t="shared" si="125"/>
        <v>0.18329999999999999</v>
      </c>
      <c r="W165" s="193">
        <f t="shared" si="125"/>
        <v>0.18329999999999999</v>
      </c>
      <c r="X165" s="189">
        <f t="shared" si="121"/>
        <v>3.6659999999999999</v>
      </c>
      <c r="Y165" s="106">
        <f t="shared" si="118"/>
        <v>0.18329999999999999</v>
      </c>
      <c r="Z165" s="190">
        <f t="shared" si="119"/>
        <v>2.6051335252478571</v>
      </c>
      <c r="AB165" s="196">
        <v>0.5</v>
      </c>
    </row>
    <row r="166" spans="1:28">
      <c r="C166" s="13" t="s">
        <v>307</v>
      </c>
      <c r="D166" s="193">
        <f t="shared" ref="D166:W166" si="126">(D126+D144)*$AB166</f>
        <v>8.2485000000000003E-2</v>
      </c>
      <c r="E166" s="193">
        <f t="shared" si="126"/>
        <v>8.2485000000000003E-2</v>
      </c>
      <c r="F166" s="193">
        <f t="shared" si="126"/>
        <v>8.2485000000000003E-2</v>
      </c>
      <c r="G166" s="193">
        <f t="shared" si="126"/>
        <v>8.2485000000000003E-2</v>
      </c>
      <c r="H166" s="193">
        <f t="shared" si="126"/>
        <v>8.2485000000000003E-2</v>
      </c>
      <c r="I166" s="193">
        <f t="shared" si="126"/>
        <v>8.2485000000000003E-2</v>
      </c>
      <c r="J166" s="193">
        <f t="shared" si="126"/>
        <v>8.2485000000000003E-2</v>
      </c>
      <c r="K166" s="193">
        <f t="shared" si="126"/>
        <v>8.2485000000000003E-2</v>
      </c>
      <c r="L166" s="193">
        <f t="shared" si="126"/>
        <v>8.2485000000000003E-2</v>
      </c>
      <c r="M166" s="193">
        <f t="shared" si="126"/>
        <v>8.2485000000000003E-2</v>
      </c>
      <c r="N166" s="193">
        <f t="shared" si="126"/>
        <v>8.2485000000000003E-2</v>
      </c>
      <c r="O166" s="193">
        <f t="shared" si="126"/>
        <v>8.2485000000000003E-2</v>
      </c>
      <c r="P166" s="193">
        <f t="shared" si="126"/>
        <v>8.2485000000000003E-2</v>
      </c>
      <c r="Q166" s="193">
        <f t="shared" si="126"/>
        <v>8.2485000000000003E-2</v>
      </c>
      <c r="R166" s="193">
        <f t="shared" si="126"/>
        <v>8.2485000000000003E-2</v>
      </c>
      <c r="S166" s="193">
        <f t="shared" si="126"/>
        <v>8.2485000000000003E-2</v>
      </c>
      <c r="T166" s="193">
        <f t="shared" si="126"/>
        <v>8.2485000000000003E-2</v>
      </c>
      <c r="U166" s="193">
        <f t="shared" si="126"/>
        <v>8.2485000000000003E-2</v>
      </c>
      <c r="V166" s="193">
        <f t="shared" si="126"/>
        <v>8.2485000000000003E-2</v>
      </c>
      <c r="W166" s="193">
        <f t="shared" si="126"/>
        <v>8.2485000000000003E-2</v>
      </c>
      <c r="X166" s="189">
        <f t="shared" si="121"/>
        <v>1.6496999999999997</v>
      </c>
      <c r="Y166" s="106">
        <f t="shared" si="118"/>
        <v>8.2484999999999989E-2</v>
      </c>
      <c r="Z166" s="190">
        <f t="shared" si="119"/>
        <v>1.1723100863615359</v>
      </c>
      <c r="AB166" s="196">
        <v>0.5</v>
      </c>
    </row>
    <row r="167" spans="1:28">
      <c r="C167" s="13" t="s">
        <v>306</v>
      </c>
      <c r="D167" s="193">
        <f t="shared" ref="D167:W167" si="127">(D127+D145)*$AB167</f>
        <v>3.7600000000000001E-2</v>
      </c>
      <c r="E167" s="193">
        <f t="shared" si="127"/>
        <v>3.7600000000000001E-2</v>
      </c>
      <c r="F167" s="193">
        <f t="shared" si="127"/>
        <v>3.7600000000000001E-2</v>
      </c>
      <c r="G167" s="193">
        <f t="shared" si="127"/>
        <v>3.7600000000000001E-2</v>
      </c>
      <c r="H167" s="193">
        <f t="shared" si="127"/>
        <v>3.7600000000000001E-2</v>
      </c>
      <c r="I167" s="193">
        <f t="shared" si="127"/>
        <v>3.7600000000000001E-2</v>
      </c>
      <c r="J167" s="193">
        <f t="shared" si="127"/>
        <v>3.7600000000000001E-2</v>
      </c>
      <c r="K167" s="193">
        <f t="shared" si="127"/>
        <v>3.7600000000000001E-2</v>
      </c>
      <c r="L167" s="193">
        <f t="shared" si="127"/>
        <v>3.7600000000000001E-2</v>
      </c>
      <c r="M167" s="193">
        <f t="shared" si="127"/>
        <v>3.7600000000000001E-2</v>
      </c>
      <c r="N167" s="193">
        <f t="shared" si="127"/>
        <v>3.7600000000000001E-2</v>
      </c>
      <c r="O167" s="193">
        <f t="shared" si="127"/>
        <v>3.7600000000000001E-2</v>
      </c>
      <c r="P167" s="193">
        <f t="shared" si="127"/>
        <v>3.7600000000000001E-2</v>
      </c>
      <c r="Q167" s="193">
        <f t="shared" si="127"/>
        <v>3.7600000000000001E-2</v>
      </c>
      <c r="R167" s="193">
        <f t="shared" si="127"/>
        <v>3.7600000000000001E-2</v>
      </c>
      <c r="S167" s="193">
        <f t="shared" si="127"/>
        <v>3.7600000000000001E-2</v>
      </c>
      <c r="T167" s="193">
        <f t="shared" si="127"/>
        <v>3.7600000000000001E-2</v>
      </c>
      <c r="U167" s="193">
        <f t="shared" si="127"/>
        <v>3.7600000000000001E-2</v>
      </c>
      <c r="V167" s="193">
        <f t="shared" si="127"/>
        <v>3.7600000000000001E-2</v>
      </c>
      <c r="W167" s="193">
        <f t="shared" si="127"/>
        <v>3.7600000000000001E-2</v>
      </c>
      <c r="X167" s="189">
        <f t="shared" si="121"/>
        <v>0.75199999999999989</v>
      </c>
      <c r="Y167" s="106">
        <f t="shared" si="118"/>
        <v>3.7599999999999995E-2</v>
      </c>
      <c r="Z167" s="190">
        <f t="shared" si="119"/>
        <v>0.53438636415340646</v>
      </c>
      <c r="AB167" s="196">
        <v>0.5</v>
      </c>
    </row>
    <row r="168" spans="1:28">
      <c r="C168" s="13" t="s">
        <v>305</v>
      </c>
      <c r="D168" s="193">
        <f t="shared" ref="D168:W168" si="128">(D128+D146)*$AB168</f>
        <v>9.8699999999999996E-2</v>
      </c>
      <c r="E168" s="193">
        <f t="shared" si="128"/>
        <v>9.8699999999999996E-2</v>
      </c>
      <c r="F168" s="193">
        <f t="shared" si="128"/>
        <v>9.8699999999999996E-2</v>
      </c>
      <c r="G168" s="193">
        <f t="shared" si="128"/>
        <v>9.8699999999999996E-2</v>
      </c>
      <c r="H168" s="193">
        <f t="shared" si="128"/>
        <v>9.8699999999999996E-2</v>
      </c>
      <c r="I168" s="193">
        <f t="shared" si="128"/>
        <v>9.8699999999999996E-2</v>
      </c>
      <c r="J168" s="193">
        <f t="shared" si="128"/>
        <v>9.8699999999999996E-2</v>
      </c>
      <c r="K168" s="193">
        <f t="shared" si="128"/>
        <v>9.8699999999999996E-2</v>
      </c>
      <c r="L168" s="193">
        <f t="shared" si="128"/>
        <v>9.8699999999999996E-2</v>
      </c>
      <c r="M168" s="193">
        <f t="shared" si="128"/>
        <v>9.8699999999999996E-2</v>
      </c>
      <c r="N168" s="193">
        <f t="shared" si="128"/>
        <v>9.8699999999999996E-2</v>
      </c>
      <c r="O168" s="193">
        <f t="shared" si="128"/>
        <v>9.8699999999999996E-2</v>
      </c>
      <c r="P168" s="193">
        <f t="shared" si="128"/>
        <v>9.8699999999999996E-2</v>
      </c>
      <c r="Q168" s="193">
        <f t="shared" si="128"/>
        <v>9.8699999999999996E-2</v>
      </c>
      <c r="R168" s="193">
        <f t="shared" si="128"/>
        <v>9.8699999999999996E-2</v>
      </c>
      <c r="S168" s="193">
        <f t="shared" si="128"/>
        <v>9.8699999999999996E-2</v>
      </c>
      <c r="T168" s="193">
        <f t="shared" si="128"/>
        <v>9.8699999999999996E-2</v>
      </c>
      <c r="U168" s="193">
        <f t="shared" si="128"/>
        <v>9.8699999999999996E-2</v>
      </c>
      <c r="V168" s="193">
        <f t="shared" si="128"/>
        <v>9.8699999999999996E-2</v>
      </c>
      <c r="W168" s="193">
        <f t="shared" si="128"/>
        <v>9.8699999999999996E-2</v>
      </c>
      <c r="X168" s="189">
        <f t="shared" si="121"/>
        <v>1.974</v>
      </c>
      <c r="Y168" s="106">
        <f t="shared" si="118"/>
        <v>9.8699999999999996E-2</v>
      </c>
      <c r="Z168" s="190">
        <f t="shared" si="119"/>
        <v>1.4027642059026921</v>
      </c>
      <c r="AB168" s="196">
        <v>0.5</v>
      </c>
    </row>
    <row r="169" spans="1:28">
      <c r="C169" s="13" t="s">
        <v>314</v>
      </c>
      <c r="D169" s="193">
        <f t="shared" ref="D169:W169" si="129">(D129+D147)*$AB169</f>
        <v>0.16450000000000001</v>
      </c>
      <c r="E169" s="193">
        <f t="shared" si="129"/>
        <v>0.16450000000000001</v>
      </c>
      <c r="F169" s="193">
        <f t="shared" si="129"/>
        <v>0.16450000000000001</v>
      </c>
      <c r="G169" s="193">
        <f t="shared" si="129"/>
        <v>0.16450000000000001</v>
      </c>
      <c r="H169" s="193">
        <f t="shared" si="129"/>
        <v>0.16450000000000001</v>
      </c>
      <c r="I169" s="193">
        <f t="shared" si="129"/>
        <v>0.16450000000000001</v>
      </c>
      <c r="J169" s="193">
        <f t="shared" si="129"/>
        <v>0.16450000000000001</v>
      </c>
      <c r="K169" s="193">
        <f t="shared" si="129"/>
        <v>0.16450000000000001</v>
      </c>
      <c r="L169" s="193">
        <f t="shared" si="129"/>
        <v>0.16450000000000001</v>
      </c>
      <c r="M169" s="193">
        <f t="shared" si="129"/>
        <v>0.16450000000000001</v>
      </c>
      <c r="N169" s="193">
        <f t="shared" si="129"/>
        <v>0.16450000000000001</v>
      </c>
      <c r="O169" s="193">
        <f t="shared" si="129"/>
        <v>0.16450000000000001</v>
      </c>
      <c r="P169" s="193">
        <f t="shared" si="129"/>
        <v>0.16450000000000001</v>
      </c>
      <c r="Q169" s="193">
        <f t="shared" si="129"/>
        <v>0.16450000000000001</v>
      </c>
      <c r="R169" s="193">
        <f t="shared" si="129"/>
        <v>0.16450000000000001</v>
      </c>
      <c r="S169" s="193">
        <f t="shared" si="129"/>
        <v>0.16450000000000001</v>
      </c>
      <c r="T169" s="193">
        <f t="shared" si="129"/>
        <v>0.16450000000000001</v>
      </c>
      <c r="U169" s="193">
        <f t="shared" si="129"/>
        <v>0.16450000000000001</v>
      </c>
      <c r="V169" s="193">
        <f t="shared" si="129"/>
        <v>0.16450000000000001</v>
      </c>
      <c r="W169" s="193">
        <f t="shared" si="129"/>
        <v>0.16450000000000001</v>
      </c>
      <c r="X169" s="189">
        <f t="shared" si="121"/>
        <v>3.2899999999999996</v>
      </c>
      <c r="Y169" s="106">
        <f t="shared" si="118"/>
        <v>0.16449999999999998</v>
      </c>
      <c r="Z169" s="190">
        <f t="shared" si="119"/>
        <v>2.3379403431711534</v>
      </c>
      <c r="AB169" s="196">
        <v>0.5</v>
      </c>
    </row>
    <row r="170" spans="1:28">
      <c r="A170" s="13"/>
      <c r="B170" s="13"/>
      <c r="C170" s="13" t="s">
        <v>315</v>
      </c>
      <c r="D170" s="106">
        <f t="shared" ref="D170:W170" si="130">(D130+D148)*$AB170</f>
        <v>9.1649999999999995E-2</v>
      </c>
      <c r="E170" s="106">
        <f t="shared" si="130"/>
        <v>9.1649999999999995E-2</v>
      </c>
      <c r="F170" s="106">
        <f t="shared" si="130"/>
        <v>9.1649999999999995E-2</v>
      </c>
      <c r="G170" s="106">
        <f t="shared" si="130"/>
        <v>9.1649999999999995E-2</v>
      </c>
      <c r="H170" s="106">
        <f t="shared" si="130"/>
        <v>9.1649999999999995E-2</v>
      </c>
      <c r="I170" s="106">
        <f t="shared" si="130"/>
        <v>9.1649999999999995E-2</v>
      </c>
      <c r="J170" s="106">
        <f t="shared" si="130"/>
        <v>9.1649999999999995E-2</v>
      </c>
      <c r="K170" s="106">
        <f t="shared" si="130"/>
        <v>9.1649999999999995E-2</v>
      </c>
      <c r="L170" s="106">
        <f t="shared" si="130"/>
        <v>9.1649999999999995E-2</v>
      </c>
      <c r="M170" s="106">
        <f t="shared" si="130"/>
        <v>9.1649999999999995E-2</v>
      </c>
      <c r="N170" s="106">
        <f t="shared" si="130"/>
        <v>9.1649999999999995E-2</v>
      </c>
      <c r="O170" s="106">
        <f t="shared" si="130"/>
        <v>9.1649999999999995E-2</v>
      </c>
      <c r="P170" s="106">
        <f t="shared" si="130"/>
        <v>9.1649999999999995E-2</v>
      </c>
      <c r="Q170" s="106">
        <f t="shared" si="130"/>
        <v>9.1649999999999995E-2</v>
      </c>
      <c r="R170" s="106">
        <f t="shared" si="130"/>
        <v>9.1649999999999995E-2</v>
      </c>
      <c r="S170" s="106">
        <f t="shared" si="130"/>
        <v>9.1649999999999995E-2</v>
      </c>
      <c r="T170" s="106">
        <f t="shared" si="130"/>
        <v>9.1649999999999995E-2</v>
      </c>
      <c r="U170" s="106">
        <f t="shared" si="130"/>
        <v>9.1649999999999995E-2</v>
      </c>
      <c r="V170" s="106">
        <f t="shared" si="130"/>
        <v>9.1649999999999995E-2</v>
      </c>
      <c r="W170" s="106">
        <f t="shared" si="130"/>
        <v>9.1649999999999995E-2</v>
      </c>
      <c r="X170" s="189">
        <f t="shared" si="121"/>
        <v>1.833</v>
      </c>
      <c r="Y170" s="106">
        <f t="shared" si="118"/>
        <v>9.1649999999999995E-2</v>
      </c>
      <c r="Z170" s="190">
        <f t="shared" si="119"/>
        <v>1.3025667626239286</v>
      </c>
      <c r="AB170" s="196">
        <v>0.5</v>
      </c>
    </row>
    <row r="171" spans="1:28" s="1" customFormat="1">
      <c r="A171" s="3"/>
      <c r="B171" s="3"/>
      <c r="C171" s="3" t="s">
        <v>245</v>
      </c>
      <c r="D171" s="140">
        <f>SUM(D160:D170)</f>
        <v>2.5392525399999997</v>
      </c>
      <c r="E171" s="140">
        <f t="shared" ref="E171:W171" si="131">SUM(E160:E170)</f>
        <v>1.0654611999999999</v>
      </c>
      <c r="F171" s="140">
        <f t="shared" si="131"/>
        <v>1.0654611999999999</v>
      </c>
      <c r="G171" s="140">
        <f t="shared" si="131"/>
        <v>1.0654611999999999</v>
      </c>
      <c r="H171" s="140">
        <f t="shared" si="131"/>
        <v>1.0654611999999999</v>
      </c>
      <c r="I171" s="140">
        <f t="shared" si="131"/>
        <v>1.0654611999999999</v>
      </c>
      <c r="J171" s="140">
        <f t="shared" si="131"/>
        <v>1.0654611999999999</v>
      </c>
      <c r="K171" s="140">
        <f t="shared" si="131"/>
        <v>1.0654611999999999</v>
      </c>
      <c r="L171" s="140">
        <f t="shared" si="131"/>
        <v>1.0654611999999999</v>
      </c>
      <c r="M171" s="140">
        <f t="shared" si="131"/>
        <v>1.0654611999999999</v>
      </c>
      <c r="N171" s="140">
        <f t="shared" si="131"/>
        <v>1.0654611999999999</v>
      </c>
      <c r="O171" s="140">
        <f t="shared" si="131"/>
        <v>1.0654611999999999</v>
      </c>
      <c r="P171" s="140">
        <f t="shared" si="131"/>
        <v>1.0654611999999999</v>
      </c>
      <c r="Q171" s="140">
        <f t="shared" si="131"/>
        <v>1.0654611999999999</v>
      </c>
      <c r="R171" s="140">
        <f t="shared" si="131"/>
        <v>1.0654611999999999</v>
      </c>
      <c r="S171" s="140">
        <f t="shared" si="131"/>
        <v>1.0654611999999999</v>
      </c>
      <c r="T171" s="140">
        <f t="shared" si="131"/>
        <v>1.0654611999999999</v>
      </c>
      <c r="U171" s="140">
        <f t="shared" si="131"/>
        <v>1.0654611999999999</v>
      </c>
      <c r="V171" s="140">
        <f t="shared" si="131"/>
        <v>1.0654611999999999</v>
      </c>
      <c r="W171" s="140">
        <f t="shared" si="131"/>
        <v>1.0654611999999999</v>
      </c>
      <c r="X171" s="205">
        <f>SUM(D171:W171)</f>
        <v>22.783015340000006</v>
      </c>
      <c r="Y171" s="140">
        <f>X171/20</f>
        <v>1.1391507670000003</v>
      </c>
      <c r="Z171" s="208">
        <f>NPV(3.5%,D171:W171)</f>
        <v>16.566717262489306</v>
      </c>
      <c r="AB171" s="213"/>
    </row>
    <row r="172" spans="1:28">
      <c r="A172" s="15"/>
      <c r="B172" s="15"/>
      <c r="C172" s="15"/>
      <c r="D172" s="191"/>
      <c r="E172" s="191"/>
      <c r="F172" s="191"/>
      <c r="G172" s="191"/>
      <c r="H172" s="191"/>
      <c r="I172" s="191"/>
      <c r="J172" s="191"/>
      <c r="K172" s="191"/>
      <c r="L172" s="191"/>
      <c r="M172" s="191"/>
      <c r="N172" s="191"/>
      <c r="O172" s="191"/>
      <c r="P172" s="191"/>
      <c r="Q172" s="191"/>
      <c r="R172" s="191"/>
      <c r="S172" s="191"/>
      <c r="T172" s="191"/>
      <c r="U172" s="191"/>
      <c r="V172" s="191"/>
      <c r="W172" s="191"/>
      <c r="X172" s="192"/>
      <c r="Y172" s="191"/>
      <c r="Z172" s="194"/>
      <c r="AB172" s="196"/>
    </row>
    <row r="173" spans="1:28">
      <c r="A173" s="13"/>
      <c r="B173" s="3" t="s">
        <v>302</v>
      </c>
      <c r="C173" s="13"/>
      <c r="D173" s="106"/>
      <c r="E173" s="106"/>
      <c r="F173" s="106"/>
      <c r="G173" s="106"/>
      <c r="H173" s="106"/>
      <c r="I173" s="106"/>
      <c r="J173" s="106"/>
      <c r="K173" s="106"/>
      <c r="L173" s="106"/>
      <c r="M173" s="106"/>
      <c r="N173" s="106"/>
      <c r="O173" s="106"/>
      <c r="P173" s="106"/>
      <c r="Q173" s="106"/>
      <c r="R173" s="106"/>
      <c r="S173" s="106"/>
      <c r="T173" s="106"/>
      <c r="U173" s="106"/>
      <c r="V173" s="106"/>
      <c r="W173" s="106"/>
      <c r="X173" s="189"/>
      <c r="Y173" s="13"/>
      <c r="Z173" s="121"/>
      <c r="AB173" s="196"/>
    </row>
    <row r="174" spans="1:28">
      <c r="A174" s="13"/>
      <c r="B174" s="13"/>
      <c r="C174" s="13" t="s">
        <v>303</v>
      </c>
      <c r="D174" s="106">
        <f t="shared" ref="D174:W174" si="132">(D133+D151)*$AB174</f>
        <v>0.5228712499999999</v>
      </c>
      <c r="E174" s="106">
        <f t="shared" si="132"/>
        <v>9.018799999999999E-2</v>
      </c>
      <c r="F174" s="106">
        <f t="shared" si="132"/>
        <v>9.018799999999999E-2</v>
      </c>
      <c r="G174" s="106">
        <f t="shared" si="132"/>
        <v>9.018799999999999E-2</v>
      </c>
      <c r="H174" s="106">
        <f t="shared" si="132"/>
        <v>9.018799999999999E-2</v>
      </c>
      <c r="I174" s="106">
        <f t="shared" si="132"/>
        <v>9.018799999999999E-2</v>
      </c>
      <c r="J174" s="106">
        <f t="shared" si="132"/>
        <v>9.018799999999999E-2</v>
      </c>
      <c r="K174" s="106">
        <f t="shared" si="132"/>
        <v>9.018799999999999E-2</v>
      </c>
      <c r="L174" s="106">
        <f t="shared" si="132"/>
        <v>9.018799999999999E-2</v>
      </c>
      <c r="M174" s="106">
        <f t="shared" si="132"/>
        <v>9.018799999999999E-2</v>
      </c>
      <c r="N174" s="106">
        <f t="shared" si="132"/>
        <v>9.018799999999999E-2</v>
      </c>
      <c r="O174" s="106">
        <f t="shared" si="132"/>
        <v>9.018799999999999E-2</v>
      </c>
      <c r="P174" s="106">
        <f t="shared" si="132"/>
        <v>9.018799999999999E-2</v>
      </c>
      <c r="Q174" s="106">
        <f t="shared" si="132"/>
        <v>9.018799999999999E-2</v>
      </c>
      <c r="R174" s="106">
        <f t="shared" si="132"/>
        <v>9.018799999999999E-2</v>
      </c>
      <c r="S174" s="106">
        <f t="shared" si="132"/>
        <v>9.018799999999999E-2</v>
      </c>
      <c r="T174" s="106">
        <f t="shared" si="132"/>
        <v>9.018799999999999E-2</v>
      </c>
      <c r="U174" s="106">
        <f t="shared" si="132"/>
        <v>9.018799999999999E-2</v>
      </c>
      <c r="V174" s="106">
        <f t="shared" si="132"/>
        <v>9.018799999999999E-2</v>
      </c>
      <c r="W174" s="106">
        <f t="shared" si="132"/>
        <v>9.018799999999999E-2</v>
      </c>
      <c r="X174" s="189">
        <f>SUM(D174:W174)</f>
        <v>2.2364432499999989</v>
      </c>
      <c r="Y174" s="106">
        <f t="shared" ref="Y174:Y175" si="133">X174/20</f>
        <v>0.11182216249999995</v>
      </c>
      <c r="Z174" s="190">
        <f t="shared" ref="Z174:Z175" si="134">NPV(3.5%,D174:W174)</f>
        <v>1.6998396782718368</v>
      </c>
      <c r="AB174" s="196">
        <v>0.5</v>
      </c>
    </row>
    <row r="175" spans="1:28" s="13" customFormat="1">
      <c r="C175" s="13" t="s">
        <v>304</v>
      </c>
      <c r="D175" s="106">
        <f t="shared" ref="D175:W175" si="135">(D134+D152)*$AB175</f>
        <v>6.7267516249999992E-2</v>
      </c>
      <c r="E175" s="106">
        <f t="shared" si="135"/>
        <v>6.7267516249999992E-2</v>
      </c>
      <c r="F175" s="106">
        <f t="shared" si="135"/>
        <v>6.7267516249999992E-2</v>
      </c>
      <c r="G175" s="106">
        <f t="shared" si="135"/>
        <v>6.7267516249999992E-2</v>
      </c>
      <c r="H175" s="106">
        <f t="shared" si="135"/>
        <v>6.7267516249999992E-2</v>
      </c>
      <c r="I175" s="106">
        <f t="shared" si="135"/>
        <v>6.7267516249999992E-2</v>
      </c>
      <c r="J175" s="106">
        <f t="shared" si="135"/>
        <v>6.7267516249999992E-2</v>
      </c>
      <c r="K175" s="106">
        <f t="shared" si="135"/>
        <v>6.7267516249999992E-2</v>
      </c>
      <c r="L175" s="106">
        <f t="shared" si="135"/>
        <v>6.7267516249999992E-2</v>
      </c>
      <c r="M175" s="106">
        <f t="shared" si="135"/>
        <v>6.7267516249999992E-2</v>
      </c>
      <c r="N175" s="106">
        <f t="shared" si="135"/>
        <v>6.7267516249999992E-2</v>
      </c>
      <c r="O175" s="106">
        <f t="shared" si="135"/>
        <v>6.7267516249999992E-2</v>
      </c>
      <c r="P175" s="106">
        <f t="shared" si="135"/>
        <v>6.7267516249999992E-2</v>
      </c>
      <c r="Q175" s="106">
        <f t="shared" si="135"/>
        <v>6.7267516249999992E-2</v>
      </c>
      <c r="R175" s="106">
        <f t="shared" si="135"/>
        <v>6.7267516249999992E-2</v>
      </c>
      <c r="S175" s="106">
        <f t="shared" si="135"/>
        <v>6.7267516249999992E-2</v>
      </c>
      <c r="T175" s="106">
        <f t="shared" si="135"/>
        <v>6.7267516249999992E-2</v>
      </c>
      <c r="U175" s="106">
        <f t="shared" si="135"/>
        <v>6.7267516249999992E-2</v>
      </c>
      <c r="V175" s="106">
        <f t="shared" si="135"/>
        <v>6.7267516249999992E-2</v>
      </c>
      <c r="W175" s="106">
        <f t="shared" si="135"/>
        <v>6.7267516249999992E-2</v>
      </c>
      <c r="X175" s="189">
        <f t="shared" si="121"/>
        <v>1.3453503250000005</v>
      </c>
      <c r="Y175" s="106">
        <f t="shared" si="133"/>
        <v>6.726751625000002E-2</v>
      </c>
      <c r="Z175" s="190">
        <f t="shared" si="134"/>
        <v>0.95603307006562988</v>
      </c>
      <c r="AB175" s="201">
        <v>0.5</v>
      </c>
    </row>
    <row r="176" spans="1:28" s="3" customFormat="1">
      <c r="C176" s="3" t="s">
        <v>246</v>
      </c>
      <c r="D176" s="140">
        <f>D175+D174</f>
        <v>0.59013876624999995</v>
      </c>
      <c r="E176" s="140">
        <f t="shared" ref="E176:W176" si="136">E175+E174</f>
        <v>0.15745551624999998</v>
      </c>
      <c r="F176" s="140">
        <f t="shared" si="136"/>
        <v>0.15745551624999998</v>
      </c>
      <c r="G176" s="140">
        <f t="shared" si="136"/>
        <v>0.15745551624999998</v>
      </c>
      <c r="H176" s="140">
        <f t="shared" si="136"/>
        <v>0.15745551624999998</v>
      </c>
      <c r="I176" s="140">
        <f t="shared" si="136"/>
        <v>0.15745551624999998</v>
      </c>
      <c r="J176" s="140">
        <f t="shared" si="136"/>
        <v>0.15745551624999998</v>
      </c>
      <c r="K176" s="140">
        <f t="shared" si="136"/>
        <v>0.15745551624999998</v>
      </c>
      <c r="L176" s="140">
        <f t="shared" si="136"/>
        <v>0.15745551624999998</v>
      </c>
      <c r="M176" s="140">
        <f t="shared" si="136"/>
        <v>0.15745551624999998</v>
      </c>
      <c r="N176" s="140">
        <f t="shared" si="136"/>
        <v>0.15745551624999998</v>
      </c>
      <c r="O176" s="140">
        <f t="shared" si="136"/>
        <v>0.15745551624999998</v>
      </c>
      <c r="P176" s="140">
        <f t="shared" si="136"/>
        <v>0.15745551624999998</v>
      </c>
      <c r="Q176" s="140">
        <f t="shared" si="136"/>
        <v>0.15745551624999998</v>
      </c>
      <c r="R176" s="140">
        <f t="shared" si="136"/>
        <v>0.15745551624999998</v>
      </c>
      <c r="S176" s="140">
        <f t="shared" si="136"/>
        <v>0.15745551624999998</v>
      </c>
      <c r="T176" s="140">
        <f t="shared" si="136"/>
        <v>0.15745551624999998</v>
      </c>
      <c r="U176" s="140">
        <f t="shared" si="136"/>
        <v>0.15745551624999998</v>
      </c>
      <c r="V176" s="140">
        <f t="shared" si="136"/>
        <v>0.15745551624999998</v>
      </c>
      <c r="W176" s="140">
        <f t="shared" si="136"/>
        <v>0.15745551624999998</v>
      </c>
      <c r="X176" s="205">
        <f t="shared" ref="X176" si="137">SUM(D176:W176)</f>
        <v>3.5817935749999972</v>
      </c>
      <c r="Y176" s="140">
        <f t="shared" ref="Y176" si="138">X176/20</f>
        <v>0.17908967874999987</v>
      </c>
      <c r="Z176" s="208">
        <f t="shared" ref="Z176" si="139">NPV(3.5%,D176:W176)</f>
        <v>2.6558727483374671</v>
      </c>
    </row>
    <row r="177" spans="1:26" s="13" customFormat="1">
      <c r="A177" s="15"/>
      <c r="B177" s="15"/>
      <c r="C177" s="15"/>
      <c r="D177" s="191"/>
      <c r="E177" s="191"/>
      <c r="F177" s="191"/>
      <c r="G177" s="191"/>
      <c r="H177" s="191"/>
      <c r="I177" s="191"/>
      <c r="J177" s="191"/>
      <c r="K177" s="191"/>
      <c r="L177" s="191"/>
      <c r="M177" s="191"/>
      <c r="N177" s="191"/>
      <c r="O177" s="191"/>
      <c r="P177" s="191"/>
      <c r="Q177" s="191"/>
      <c r="R177" s="191"/>
      <c r="S177" s="191"/>
      <c r="T177" s="191"/>
      <c r="U177" s="191"/>
      <c r="V177" s="191"/>
      <c r="W177" s="191"/>
      <c r="X177" s="192"/>
      <c r="Y177" s="191"/>
      <c r="Z177" s="194"/>
    </row>
    <row r="178" spans="1:26">
      <c r="A178" s="13"/>
      <c r="B178" s="3" t="s">
        <v>301</v>
      </c>
      <c r="C178" s="43"/>
      <c r="D178" s="13"/>
      <c r="E178" s="13"/>
      <c r="F178" s="13"/>
      <c r="G178" s="13"/>
      <c r="H178" s="13"/>
      <c r="I178" s="13"/>
      <c r="J178" s="13"/>
      <c r="K178" s="13"/>
      <c r="L178" s="13"/>
      <c r="M178" s="13"/>
      <c r="N178" s="13"/>
      <c r="O178" s="13"/>
      <c r="P178" s="13"/>
      <c r="Q178" s="13"/>
      <c r="R178" s="13"/>
      <c r="S178" s="13"/>
      <c r="T178" s="13"/>
      <c r="U178" s="13"/>
      <c r="V178" s="13"/>
      <c r="W178" s="13"/>
      <c r="X178" s="30"/>
      <c r="Y178" s="13"/>
      <c r="Z178" s="121"/>
    </row>
    <row r="179" spans="1:26" s="1" customFormat="1">
      <c r="A179" s="3"/>
      <c r="B179" s="3"/>
      <c r="C179" s="3" t="s">
        <v>8</v>
      </c>
      <c r="D179" s="140">
        <f>D176+D171</f>
        <v>3.1293913062499996</v>
      </c>
      <c r="E179" s="140">
        <f t="shared" ref="E179:V179" si="140">E176+E171</f>
        <v>1.2229167162499999</v>
      </c>
      <c r="F179" s="140">
        <f t="shared" si="140"/>
        <v>1.2229167162499999</v>
      </c>
      <c r="G179" s="140">
        <f t="shared" si="140"/>
        <v>1.2229167162499999</v>
      </c>
      <c r="H179" s="140">
        <f t="shared" si="140"/>
        <v>1.2229167162499999</v>
      </c>
      <c r="I179" s="140">
        <f t="shared" si="140"/>
        <v>1.2229167162499999</v>
      </c>
      <c r="J179" s="140">
        <f>J176+J171</f>
        <v>1.2229167162499999</v>
      </c>
      <c r="K179" s="140">
        <f t="shared" si="140"/>
        <v>1.2229167162499999</v>
      </c>
      <c r="L179" s="140">
        <f t="shared" si="140"/>
        <v>1.2229167162499999</v>
      </c>
      <c r="M179" s="140">
        <f t="shared" si="140"/>
        <v>1.2229167162499999</v>
      </c>
      <c r="N179" s="140">
        <f t="shared" si="140"/>
        <v>1.2229167162499999</v>
      </c>
      <c r="O179" s="140">
        <f t="shared" si="140"/>
        <v>1.2229167162499999</v>
      </c>
      <c r="P179" s="140">
        <f t="shared" si="140"/>
        <v>1.2229167162499999</v>
      </c>
      <c r="Q179" s="140">
        <f t="shared" si="140"/>
        <v>1.2229167162499999</v>
      </c>
      <c r="R179" s="140">
        <f t="shared" si="140"/>
        <v>1.2229167162499999</v>
      </c>
      <c r="S179" s="140">
        <f t="shared" si="140"/>
        <v>1.2229167162499999</v>
      </c>
      <c r="T179" s="140">
        <f t="shared" si="140"/>
        <v>1.2229167162499999</v>
      </c>
      <c r="U179" s="140">
        <f t="shared" si="140"/>
        <v>1.2229167162499999</v>
      </c>
      <c r="V179" s="140">
        <f t="shared" si="140"/>
        <v>1.2229167162499999</v>
      </c>
      <c r="W179" s="140">
        <f>W176+W171</f>
        <v>1.2229167162499999</v>
      </c>
      <c r="X179" s="205">
        <f>SUM(D179:W179)</f>
        <v>26.364808915000005</v>
      </c>
      <c r="Y179" s="140">
        <f>X179/20</f>
        <v>1.3182404457500003</v>
      </c>
      <c r="Z179" s="208">
        <f t="shared" ref="Z179" si="141">NPV(3.5%,D179:W179)</f>
        <v>19.222590010826774</v>
      </c>
    </row>
    <row r="180" spans="1:26">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33"/>
      <c r="Y180" s="15"/>
      <c r="Z180" s="187"/>
    </row>
  </sheetData>
  <sheetProtection password="8725" sheet="1" objects="1" scenarios="1"/>
  <customSheetViews>
    <customSheetView guid="{501AA260-4F68-4F83-9D73-4CAC5C0FE660}" scale="90" topLeftCell="A33">
      <selection activeCell="D47" sqref="D47"/>
      <pageMargins left="0.7" right="0.7" top="0.75" bottom="0.75" header="0.3" footer="0.3"/>
      <pageSetup paperSize="9" orientation="portrait" verticalDpi="0" r:id="rId1"/>
    </customSheetView>
    <customSheetView guid="{49FA9399-7025-4F3A-8583-7789089E8EA0}" scale="90" topLeftCell="A4">
      <selection activeCell="D13" sqref="D13"/>
      <pageMargins left="0.7" right="0.7" top="0.75" bottom="0.75" header="0.3" footer="0.3"/>
      <pageSetup paperSize="9" orientation="portrait" verticalDpi="0" r:id="rId2"/>
    </customSheetView>
  </customSheetViews>
  <mergeCells count="19">
    <mergeCell ref="A156:Z156"/>
    <mergeCell ref="X157:X158"/>
    <mergeCell ref="Y157:Y158"/>
    <mergeCell ref="Z157:Z158"/>
    <mergeCell ref="AB156:AB158"/>
    <mergeCell ref="X116:X117"/>
    <mergeCell ref="Y116:Y117"/>
    <mergeCell ref="Z116:Z117"/>
    <mergeCell ref="A118:Z118"/>
    <mergeCell ref="A136:Z136"/>
    <mergeCell ref="A4:O4"/>
    <mergeCell ref="A5:O5"/>
    <mergeCell ref="A11:Z11"/>
    <mergeCell ref="A62:Z62"/>
    <mergeCell ref="A115:Z115"/>
    <mergeCell ref="Z9:Z10"/>
    <mergeCell ref="X9:X10"/>
    <mergeCell ref="Y9:Y10"/>
    <mergeCell ref="A8:Z8"/>
  </mergeCell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31"/>
  <sheetViews>
    <sheetView zoomScale="80" zoomScaleNormal="80" workbookViewId="0">
      <selection activeCell="E24" sqref="E24"/>
    </sheetView>
  </sheetViews>
  <sheetFormatPr defaultRowHeight="12.75"/>
  <cols>
    <col min="1" max="1" width="50.5703125" style="11" customWidth="1"/>
    <col min="2" max="2" width="22.28515625" style="11" customWidth="1"/>
    <col min="3" max="3" width="20.7109375" style="11" customWidth="1"/>
    <col min="4" max="4" width="30.140625" style="11" customWidth="1"/>
    <col min="5" max="6" width="15.85546875" style="11" customWidth="1"/>
    <col min="7" max="16384" width="9.140625" style="11"/>
  </cols>
  <sheetData>
    <row r="1" spans="1:7" s="18" customFormat="1" ht="38.25" customHeight="1">
      <c r="A1" s="17" t="s">
        <v>248</v>
      </c>
    </row>
    <row r="3" spans="1:7" ht="82.5" customHeight="1">
      <c r="A3" s="233" t="s">
        <v>224</v>
      </c>
      <c r="B3" s="233"/>
      <c r="C3" s="233"/>
      <c r="D3" s="233"/>
      <c r="E3" s="233"/>
      <c r="F3" s="233"/>
      <c r="G3" s="20"/>
    </row>
    <row r="4" spans="1:7" ht="11.25" customHeight="1">
      <c r="A4" s="20"/>
      <c r="B4" s="20"/>
      <c r="C4" s="20"/>
      <c r="D4" s="20"/>
      <c r="E4" s="20"/>
      <c r="F4" s="20"/>
      <c r="G4" s="20"/>
    </row>
    <row r="5" spans="1:7">
      <c r="A5" s="12"/>
      <c r="F5" s="13"/>
    </row>
    <row r="6" spans="1:7" ht="51" customHeight="1">
      <c r="A6" s="217" t="s">
        <v>247</v>
      </c>
      <c r="B6" s="218"/>
      <c r="C6" s="218"/>
      <c r="D6" s="218"/>
      <c r="E6" s="218"/>
      <c r="F6" s="219"/>
    </row>
    <row r="7" spans="1:7" ht="32.25" customHeight="1">
      <c r="A7" s="21" t="s">
        <v>256</v>
      </c>
      <c r="B7" s="22" t="s">
        <v>206</v>
      </c>
      <c r="C7" s="22" t="s">
        <v>207</v>
      </c>
      <c r="D7" s="22" t="s">
        <v>254</v>
      </c>
      <c r="E7" s="28" t="s">
        <v>5</v>
      </c>
      <c r="F7" s="29" t="s">
        <v>209</v>
      </c>
    </row>
    <row r="8" spans="1:7">
      <c r="A8" s="14" t="s">
        <v>249</v>
      </c>
      <c r="B8" s="13">
        <v>50</v>
      </c>
      <c r="C8" s="13">
        <v>300</v>
      </c>
      <c r="D8" s="13">
        <v>26</v>
      </c>
      <c r="E8" s="30">
        <f>B8*C8*D8</f>
        <v>390000</v>
      </c>
      <c r="F8" s="31">
        <f>E8*47%</f>
        <v>183300</v>
      </c>
    </row>
    <row r="9" spans="1:7">
      <c r="A9" s="14" t="s">
        <v>250</v>
      </c>
      <c r="B9" s="13">
        <v>25</v>
      </c>
      <c r="C9" s="13">
        <v>300</v>
      </c>
      <c r="D9" s="13">
        <v>26</v>
      </c>
      <c r="E9" s="30">
        <f t="shared" ref="E9:E11" si="0">B9*C9*D9</f>
        <v>195000</v>
      </c>
      <c r="F9" s="31">
        <f>E9*47%</f>
        <v>91650</v>
      </c>
    </row>
    <row r="10" spans="1:7">
      <c r="A10" s="14" t="s">
        <v>251</v>
      </c>
      <c r="B10" s="13">
        <v>15</v>
      </c>
      <c r="C10" s="13">
        <v>450</v>
      </c>
      <c r="D10" s="13">
        <v>26</v>
      </c>
      <c r="E10" s="30">
        <f t="shared" si="0"/>
        <v>175500</v>
      </c>
      <c r="F10" s="31">
        <f>E10*47%</f>
        <v>82485</v>
      </c>
    </row>
    <row r="11" spans="1:7">
      <c r="A11" s="14" t="s">
        <v>252</v>
      </c>
      <c r="B11" s="13">
        <v>50</v>
      </c>
      <c r="C11" s="13">
        <v>300</v>
      </c>
      <c r="D11" s="13">
        <v>14</v>
      </c>
      <c r="E11" s="30">
        <f t="shared" si="0"/>
        <v>210000</v>
      </c>
      <c r="F11" s="31">
        <f>E11*47%</f>
        <v>98700</v>
      </c>
    </row>
    <row r="12" spans="1:7">
      <c r="A12" s="23" t="s">
        <v>208</v>
      </c>
      <c r="B12" s="24" t="s">
        <v>11</v>
      </c>
      <c r="C12" s="24" t="s">
        <v>11</v>
      </c>
      <c r="D12" s="24" t="s">
        <v>11</v>
      </c>
      <c r="E12" s="6">
        <f>SUM(E8:E11)</f>
        <v>970500</v>
      </c>
      <c r="F12" s="32">
        <f>E12*47%</f>
        <v>456135</v>
      </c>
    </row>
    <row r="13" spans="1:7">
      <c r="A13" s="26"/>
      <c r="B13" s="27"/>
      <c r="C13" s="27"/>
      <c r="D13" s="27"/>
      <c r="E13" s="33"/>
      <c r="F13" s="34"/>
    </row>
    <row r="14" spans="1:7">
      <c r="A14" s="14"/>
      <c r="B14" s="16"/>
      <c r="C14" s="16"/>
      <c r="D14" s="16"/>
      <c r="E14" s="13"/>
      <c r="F14" s="13"/>
    </row>
    <row r="15" spans="1:7">
      <c r="A15" s="14"/>
      <c r="F15" s="13"/>
    </row>
    <row r="16" spans="1:7" ht="51.75" customHeight="1">
      <c r="A16" s="217" t="s">
        <v>240</v>
      </c>
      <c r="B16" s="218"/>
      <c r="C16" s="218"/>
      <c r="D16" s="218"/>
      <c r="E16" s="218"/>
      <c r="F16" s="219"/>
    </row>
    <row r="17" spans="1:6" ht="32.25" customHeight="1">
      <c r="A17" s="21" t="s">
        <v>256</v>
      </c>
      <c r="B17" s="22" t="s">
        <v>206</v>
      </c>
      <c r="C17" s="22" t="s">
        <v>207</v>
      </c>
      <c r="D17" s="22" t="s">
        <v>254</v>
      </c>
      <c r="E17" s="28" t="s">
        <v>5</v>
      </c>
      <c r="F17" s="29" t="s">
        <v>209</v>
      </c>
    </row>
    <row r="18" spans="1:6">
      <c r="A18" s="35" t="s">
        <v>253</v>
      </c>
      <c r="B18" s="36">
        <v>40</v>
      </c>
      <c r="C18" s="36">
        <v>350</v>
      </c>
      <c r="D18" s="36">
        <v>25</v>
      </c>
      <c r="E18" s="38">
        <f>B18*C18*D18</f>
        <v>350000</v>
      </c>
      <c r="F18" s="37">
        <f>E18*47%</f>
        <v>164500</v>
      </c>
    </row>
    <row r="19" spans="1:6" s="1" customFormat="1">
      <c r="A19" s="39" t="s">
        <v>208</v>
      </c>
      <c r="B19" s="24" t="s">
        <v>11</v>
      </c>
      <c r="C19" s="24" t="s">
        <v>11</v>
      </c>
      <c r="D19" s="24" t="s">
        <v>11</v>
      </c>
      <c r="E19" s="6">
        <f>SUM(E16:E18)</f>
        <v>350000</v>
      </c>
      <c r="F19" s="32">
        <f>E19*47%</f>
        <v>164500</v>
      </c>
    </row>
    <row r="20" spans="1:6">
      <c r="A20" s="26"/>
      <c r="B20" s="27"/>
      <c r="C20" s="27"/>
      <c r="D20" s="27"/>
      <c r="E20" s="33"/>
      <c r="F20" s="34"/>
    </row>
    <row r="21" spans="1:6">
      <c r="A21" s="14"/>
      <c r="B21" s="16"/>
      <c r="C21" s="16"/>
      <c r="D21" s="16"/>
      <c r="E21" s="13"/>
      <c r="F21" s="13"/>
    </row>
    <row r="22" spans="1:6">
      <c r="A22" s="14"/>
    </row>
    <row r="23" spans="1:6" ht="43.5" customHeight="1">
      <c r="A23" s="217" t="s">
        <v>241</v>
      </c>
      <c r="B23" s="218"/>
      <c r="C23" s="218"/>
      <c r="D23" s="218"/>
      <c r="E23" s="218"/>
      <c r="F23" s="219"/>
    </row>
    <row r="24" spans="1:6" ht="32.25" customHeight="1">
      <c r="A24" s="21" t="s">
        <v>256</v>
      </c>
      <c r="B24" s="22" t="s">
        <v>206</v>
      </c>
      <c r="C24" s="22" t="s">
        <v>207</v>
      </c>
      <c r="D24" s="22" t="s">
        <v>254</v>
      </c>
      <c r="E24" s="28" t="s">
        <v>5</v>
      </c>
      <c r="F24" s="29" t="s">
        <v>209</v>
      </c>
    </row>
    <row r="25" spans="1:6">
      <c r="A25" s="35" t="s">
        <v>257</v>
      </c>
      <c r="B25" s="36">
        <v>80</v>
      </c>
      <c r="C25" s="36">
        <v>500</v>
      </c>
      <c r="D25" s="36">
        <v>2</v>
      </c>
      <c r="E25" s="38">
        <f>B25*C25*D25</f>
        <v>80000</v>
      </c>
      <c r="F25" s="37">
        <f>E25*47%</f>
        <v>37600</v>
      </c>
    </row>
    <row r="26" spans="1:6" s="1" customFormat="1">
      <c r="A26" s="39" t="s">
        <v>208</v>
      </c>
      <c r="B26" s="24" t="s">
        <v>11</v>
      </c>
      <c r="C26" s="24" t="s">
        <v>11</v>
      </c>
      <c r="D26" s="24" t="s">
        <v>11</v>
      </c>
      <c r="E26" s="6">
        <f>SUM(E23:E25)</f>
        <v>80000</v>
      </c>
      <c r="F26" s="32">
        <f>E26*47%</f>
        <v>37600</v>
      </c>
    </row>
    <row r="27" spans="1:6">
      <c r="A27" s="33"/>
      <c r="B27" s="15"/>
      <c r="C27" s="15"/>
      <c r="D27" s="15"/>
      <c r="E27" s="33"/>
      <c r="F27" s="34"/>
    </row>
    <row r="29" spans="1:6">
      <c r="A29" s="16" t="s">
        <v>255</v>
      </c>
    </row>
    <row r="30" spans="1:6">
      <c r="A30" s="40" t="s">
        <v>204</v>
      </c>
      <c r="B30" s="41"/>
      <c r="C30" s="41"/>
      <c r="D30" s="13"/>
      <c r="E30" s="13"/>
      <c r="F30" s="13"/>
    </row>
    <row r="31" spans="1:6" ht="38.25" customHeight="1">
      <c r="A31" s="231" t="s">
        <v>90</v>
      </c>
      <c r="B31" s="232"/>
      <c r="C31" s="232"/>
      <c r="D31" s="13"/>
      <c r="E31" s="13"/>
      <c r="F31" s="13"/>
    </row>
  </sheetData>
  <sheetProtection password="8725" sheet="1" objects="1" scenarios="1"/>
  <customSheetViews>
    <customSheetView guid="{501AA260-4F68-4F83-9D73-4CAC5C0FE660}" scale="90" topLeftCell="A14">
      <selection activeCell="F30" sqref="F30"/>
      <pageMargins left="0.7" right="0.7" top="0.75" bottom="0.75" header="0.3" footer="0.3"/>
      <pageSetup paperSize="9" orientation="portrait" verticalDpi="0" r:id="rId1"/>
    </customSheetView>
    <customSheetView guid="{49FA9399-7025-4F3A-8583-7789089E8EA0}" scale="90">
      <selection activeCell="E15" sqref="E15"/>
      <pageMargins left="0.7" right="0.7" top="0.75" bottom="0.75" header="0.3" footer="0.3"/>
      <pageSetup paperSize="9" orientation="portrait" verticalDpi="0" r:id="rId2"/>
    </customSheetView>
  </customSheetViews>
  <mergeCells count="5">
    <mergeCell ref="A31:C31"/>
    <mergeCell ref="A3:F3"/>
    <mergeCell ref="A6:F6"/>
    <mergeCell ref="A16:F16"/>
    <mergeCell ref="A23:F23"/>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dimension ref="A1:E43"/>
  <sheetViews>
    <sheetView zoomScale="80" zoomScaleNormal="80" workbookViewId="0">
      <selection activeCell="B18" sqref="B18"/>
    </sheetView>
  </sheetViews>
  <sheetFormatPr defaultRowHeight="12.75"/>
  <cols>
    <col min="1" max="1" width="36.42578125" style="11" customWidth="1"/>
    <col min="2" max="2" width="22.5703125" style="11" customWidth="1"/>
    <col min="3" max="4" width="17.28515625" style="11" customWidth="1"/>
    <col min="5" max="6" width="13.28515625" style="11" customWidth="1"/>
    <col min="7" max="16384" width="9.140625" style="11"/>
  </cols>
  <sheetData>
    <row r="1" spans="1:5" s="42" customFormat="1" ht="38.25" customHeight="1">
      <c r="A1" s="17" t="s">
        <v>261</v>
      </c>
    </row>
    <row r="2" spans="1:5">
      <c r="A2" s="1"/>
    </row>
    <row r="3" spans="1:5" ht="42.75" customHeight="1">
      <c r="A3" s="234" t="s">
        <v>39</v>
      </c>
      <c r="B3" s="234"/>
      <c r="C3" s="234"/>
      <c r="D3" s="234"/>
      <c r="E3" s="234"/>
    </row>
    <row r="4" spans="1:5" ht="14.25" customHeight="1">
      <c r="A4" s="19"/>
      <c r="B4" s="19"/>
      <c r="C4" s="19"/>
      <c r="D4" s="19"/>
      <c r="E4" s="19"/>
    </row>
    <row r="6" spans="1:5" ht="34.5" customHeight="1">
      <c r="A6" s="235" t="s">
        <v>41</v>
      </c>
      <c r="B6" s="236"/>
    </row>
    <row r="7" spans="1:5" ht="32.25" customHeight="1">
      <c r="A7" s="64"/>
      <c r="B7" s="65" t="s">
        <v>12</v>
      </c>
    </row>
    <row r="8" spans="1:5">
      <c r="A8" s="30" t="s">
        <v>0</v>
      </c>
      <c r="B8" s="60">
        <v>0.111</v>
      </c>
    </row>
    <row r="9" spans="1:5">
      <c r="A9" s="30" t="s">
        <v>1</v>
      </c>
      <c r="B9" s="60">
        <v>6.9375999999999993E-2</v>
      </c>
    </row>
    <row r="10" spans="1:5">
      <c r="A10" s="62" t="s">
        <v>258</v>
      </c>
      <c r="B10" s="63">
        <f>B9+B8</f>
        <v>0.18037599999999998</v>
      </c>
    </row>
    <row r="11" spans="1:5">
      <c r="A11" s="43"/>
      <c r="B11" s="44"/>
      <c r="C11" s="13"/>
      <c r="D11" s="44"/>
    </row>
    <row r="12" spans="1:5">
      <c r="B12" s="10"/>
    </row>
    <row r="13" spans="1:5" ht="36" customHeight="1">
      <c r="A13" s="217" t="s">
        <v>40</v>
      </c>
      <c r="B13" s="219"/>
      <c r="C13" s="46"/>
      <c r="D13" s="46"/>
      <c r="E13" s="46"/>
    </row>
    <row r="14" spans="1:5" ht="29.25" customHeight="1">
      <c r="A14" s="71"/>
      <c r="B14" s="29" t="s">
        <v>42</v>
      </c>
      <c r="C14" s="47"/>
      <c r="D14" s="48"/>
    </row>
    <row r="15" spans="1:5" ht="15" customHeight="1">
      <c r="A15" s="217" t="s">
        <v>29</v>
      </c>
      <c r="B15" s="219"/>
      <c r="C15" s="47"/>
      <c r="D15" s="48"/>
    </row>
    <row r="16" spans="1:5">
      <c r="A16" s="38" t="s">
        <v>28</v>
      </c>
      <c r="B16" s="67">
        <v>4.0000000000000001E-3</v>
      </c>
      <c r="C16" s="49"/>
      <c r="D16" s="50"/>
    </row>
    <row r="17" spans="1:4">
      <c r="A17" s="30" t="s">
        <v>27</v>
      </c>
      <c r="B17" s="60">
        <v>1.7999999999999999E-2</v>
      </c>
      <c r="C17" s="49"/>
      <c r="D17" s="50"/>
    </row>
    <row r="18" spans="1:4">
      <c r="A18" s="30" t="s">
        <v>210</v>
      </c>
      <c r="B18" s="60">
        <v>2.3E-2</v>
      </c>
      <c r="C18" s="49"/>
      <c r="D18" s="50"/>
    </row>
    <row r="19" spans="1:4">
      <c r="A19" s="30" t="s">
        <v>26</v>
      </c>
      <c r="B19" s="60">
        <v>5.1799999999999999E-2</v>
      </c>
      <c r="C19" s="72"/>
      <c r="D19" s="50"/>
    </row>
    <row r="20" spans="1:4">
      <c r="A20" s="30" t="s">
        <v>25</v>
      </c>
      <c r="B20" s="60">
        <v>0.01</v>
      </c>
      <c r="C20" s="49"/>
      <c r="D20" s="50"/>
    </row>
    <row r="21" spans="1:4">
      <c r="A21" s="30" t="s">
        <v>24</v>
      </c>
      <c r="B21" s="60">
        <v>2.1360000000000001E-2</v>
      </c>
      <c r="C21" s="51"/>
      <c r="D21" s="50"/>
    </row>
    <row r="22" spans="1:4">
      <c r="A22" s="6" t="s">
        <v>14</v>
      </c>
      <c r="B22" s="68">
        <f>SUM(B16:B21)</f>
        <v>0.12816</v>
      </c>
      <c r="C22" s="52"/>
      <c r="D22" s="53"/>
    </row>
    <row r="23" spans="1:4" ht="12.75" customHeight="1">
      <c r="A23" s="71" t="s">
        <v>23</v>
      </c>
      <c r="B23" s="66"/>
      <c r="C23" s="13"/>
      <c r="D23" s="44"/>
    </row>
    <row r="24" spans="1:4">
      <c r="A24" s="38" t="s">
        <v>22</v>
      </c>
      <c r="B24" s="67">
        <v>1E-3</v>
      </c>
      <c r="C24" s="49"/>
      <c r="D24" s="50"/>
    </row>
    <row r="25" spans="1:4">
      <c r="A25" s="30" t="s">
        <v>21</v>
      </c>
      <c r="B25" s="60">
        <v>8.0000000000000002E-3</v>
      </c>
      <c r="C25" s="49"/>
      <c r="D25" s="50"/>
    </row>
    <row r="26" spans="1:4">
      <c r="A26" s="30" t="s">
        <v>20</v>
      </c>
      <c r="B26" s="60">
        <v>3.0000000000000001E-3</v>
      </c>
      <c r="C26" s="49"/>
      <c r="D26" s="50"/>
    </row>
    <row r="27" spans="1:4">
      <c r="A27" s="69" t="s">
        <v>19</v>
      </c>
      <c r="B27" s="70">
        <v>7.8039999999999998E-2</v>
      </c>
      <c r="C27" s="54"/>
      <c r="D27" s="55"/>
    </row>
    <row r="28" spans="1:4">
      <c r="A28" s="69" t="s">
        <v>18</v>
      </c>
      <c r="B28" s="70">
        <v>0.22961000000000001</v>
      </c>
      <c r="C28" s="54"/>
      <c r="D28" s="55"/>
    </row>
    <row r="29" spans="1:4">
      <c r="A29" s="69" t="s">
        <v>17</v>
      </c>
      <c r="B29" s="70">
        <v>7.4099999999999999E-2</v>
      </c>
      <c r="C29" s="54"/>
      <c r="D29" s="55"/>
    </row>
    <row r="30" spans="1:4">
      <c r="A30" s="30" t="s">
        <v>16</v>
      </c>
      <c r="B30" s="60">
        <v>0.14399999999999999</v>
      </c>
      <c r="C30" s="49"/>
      <c r="D30" s="50"/>
    </row>
    <row r="31" spans="1:4">
      <c r="A31" s="30" t="s">
        <v>15</v>
      </c>
      <c r="B31" s="60">
        <f>(SUM(B24:B30))/100*25</f>
        <v>0.13443749999999999</v>
      </c>
      <c r="C31" s="51"/>
      <c r="D31" s="50"/>
    </row>
    <row r="32" spans="1:4">
      <c r="A32" s="6" t="s">
        <v>14</v>
      </c>
      <c r="B32" s="68">
        <f>SUM(B24:B31)</f>
        <v>0.67218749999999994</v>
      </c>
      <c r="C32" s="56"/>
      <c r="D32" s="53"/>
    </row>
    <row r="33" spans="1:5">
      <c r="A33" s="62" t="s">
        <v>260</v>
      </c>
      <c r="B33" s="63">
        <f>B32+B22</f>
        <v>0.80034749999999999</v>
      </c>
      <c r="C33" s="56"/>
      <c r="D33" s="53"/>
    </row>
    <row r="34" spans="1:5">
      <c r="A34" s="45"/>
      <c r="B34" s="13"/>
      <c r="C34" s="13"/>
      <c r="D34" s="13"/>
      <c r="E34" s="13"/>
    </row>
    <row r="35" spans="1:5">
      <c r="A35" s="45"/>
      <c r="B35" s="13"/>
      <c r="C35" s="13"/>
      <c r="D35" s="13"/>
      <c r="E35" s="13"/>
    </row>
    <row r="36" spans="1:5" ht="30" customHeight="1">
      <c r="A36" s="233" t="s">
        <v>38</v>
      </c>
      <c r="B36" s="233"/>
      <c r="C36" s="233"/>
      <c r="D36" s="233"/>
      <c r="E36" s="233"/>
    </row>
    <row r="37" spans="1:5" ht="30" customHeight="1">
      <c r="A37" s="217" t="s">
        <v>36</v>
      </c>
      <c r="B37" s="218"/>
      <c r="C37" s="219"/>
      <c r="D37" s="58"/>
      <c r="E37" s="58"/>
    </row>
    <row r="38" spans="1:5" ht="25.5" customHeight="1">
      <c r="A38" s="73"/>
      <c r="B38" s="218" t="s">
        <v>42</v>
      </c>
      <c r="C38" s="219"/>
      <c r="D38" s="48"/>
      <c r="E38" s="13"/>
    </row>
    <row r="39" spans="1:5" ht="26.25" customHeight="1">
      <c r="A39" s="74" t="s">
        <v>34</v>
      </c>
      <c r="B39" s="237">
        <v>5.3913999999999997E-2</v>
      </c>
      <c r="C39" s="238"/>
      <c r="D39" s="50"/>
      <c r="E39" s="13"/>
    </row>
    <row r="40" spans="1:5">
      <c r="A40" s="30" t="s">
        <v>33</v>
      </c>
      <c r="B40" s="239">
        <v>6.0135000000000001E-2</v>
      </c>
      <c r="C40" s="240"/>
      <c r="D40" s="50"/>
      <c r="E40" s="13"/>
    </row>
    <row r="41" spans="1:5">
      <c r="A41" s="62" t="s">
        <v>32</v>
      </c>
      <c r="B41" s="241">
        <f>B40+B39</f>
        <v>0.114049</v>
      </c>
      <c r="C41" s="242"/>
      <c r="D41" s="50"/>
      <c r="E41" s="13"/>
    </row>
    <row r="42" spans="1:5">
      <c r="A42" s="13" t="s">
        <v>259</v>
      </c>
      <c r="B42" s="13"/>
      <c r="C42" s="13"/>
      <c r="D42" s="13"/>
      <c r="E42" s="13"/>
    </row>
    <row r="43" spans="1:5" ht="27.75" customHeight="1">
      <c r="A43" s="57"/>
      <c r="B43" s="57"/>
      <c r="C43" s="57"/>
      <c r="D43" s="57"/>
      <c r="E43" s="57"/>
    </row>
  </sheetData>
  <sheetProtection password="8725" sheet="1" objects="1" scenarios="1"/>
  <customSheetViews>
    <customSheetView guid="{501AA260-4F68-4F83-9D73-4CAC5C0FE660}" topLeftCell="A10">
      <selection activeCell="A20" sqref="A20"/>
      <pageMargins left="0.7" right="0.7" top="0.75" bottom="0.75" header="0.3" footer="0.3"/>
      <pageSetup paperSize="9" scale="86" orientation="portrait" verticalDpi="0" r:id="rId1"/>
    </customSheetView>
    <customSheetView guid="{49FA9399-7025-4F3A-8583-7789089E8EA0}">
      <selection activeCell="A20" sqref="A20"/>
      <pageMargins left="0.7" right="0.7" top="0.75" bottom="0.75" header="0.3" footer="0.3"/>
      <pageSetup paperSize="9" scale="86" orientation="portrait" verticalDpi="0" r:id="rId2"/>
    </customSheetView>
  </customSheetViews>
  <mergeCells count="10">
    <mergeCell ref="B39:C39"/>
    <mergeCell ref="B40:C40"/>
    <mergeCell ref="B41:C41"/>
    <mergeCell ref="A36:E36"/>
    <mergeCell ref="A15:B15"/>
    <mergeCell ref="A3:E3"/>
    <mergeCell ref="A6:B6"/>
    <mergeCell ref="A13:B13"/>
    <mergeCell ref="A37:C37"/>
    <mergeCell ref="B38:C38"/>
  </mergeCells>
  <pageMargins left="0.7" right="0.7" top="0.75" bottom="0.75" header="0.3" footer="0.3"/>
  <pageSetup paperSize="9" scale="86" orientation="portrait" verticalDpi="0" r:id="rId3"/>
</worksheet>
</file>

<file path=xl/worksheets/sheet4.xml><?xml version="1.0" encoding="utf-8"?>
<worksheet xmlns="http://schemas.openxmlformats.org/spreadsheetml/2006/main" xmlns:r="http://schemas.openxmlformats.org/officeDocument/2006/relationships">
  <dimension ref="A1:F43"/>
  <sheetViews>
    <sheetView zoomScale="80" zoomScaleNormal="80" workbookViewId="0">
      <selection activeCell="D13" sqref="D13"/>
    </sheetView>
  </sheetViews>
  <sheetFormatPr defaultRowHeight="12.75"/>
  <cols>
    <col min="1" max="1" width="36.42578125" style="11" customWidth="1"/>
    <col min="2" max="2" width="19.5703125" style="11" customWidth="1"/>
    <col min="3" max="3" width="24.28515625" style="11" customWidth="1"/>
    <col min="4" max="4" width="17.28515625" style="11" customWidth="1"/>
    <col min="5" max="6" width="13.28515625" style="11" customWidth="1"/>
    <col min="7" max="16384" width="9.140625" style="11"/>
  </cols>
  <sheetData>
    <row r="1" spans="1:6" s="18" customFormat="1" ht="38.25" customHeight="1">
      <c r="A1" s="17" t="s">
        <v>262</v>
      </c>
    </row>
    <row r="2" spans="1:6">
      <c r="A2" s="1"/>
    </row>
    <row r="3" spans="1:6" s="75" customFormat="1" ht="57.75" customHeight="1">
      <c r="A3" s="233" t="s">
        <v>225</v>
      </c>
      <c r="B3" s="233"/>
      <c r="C3" s="233"/>
      <c r="D3" s="233"/>
      <c r="E3" s="233"/>
      <c r="F3" s="233"/>
    </row>
    <row r="5" spans="1:6" ht="36" customHeight="1">
      <c r="A5" s="235" t="s">
        <v>230</v>
      </c>
      <c r="B5" s="236"/>
    </row>
    <row r="6" spans="1:6" ht="25.5">
      <c r="A6" s="76"/>
      <c r="B6" s="77" t="s">
        <v>12</v>
      </c>
    </row>
    <row r="7" spans="1:6">
      <c r="A7" s="30" t="s">
        <v>0</v>
      </c>
      <c r="B7" s="60">
        <v>0.16700000000000001</v>
      </c>
    </row>
    <row r="8" spans="1:6">
      <c r="A8" s="30" t="s">
        <v>1</v>
      </c>
      <c r="B8" s="60">
        <v>0.104</v>
      </c>
    </row>
    <row r="9" spans="1:6">
      <c r="A9" s="33" t="s">
        <v>239</v>
      </c>
      <c r="B9" s="78">
        <f>B8+B7</f>
        <v>0.27100000000000002</v>
      </c>
    </row>
    <row r="10" spans="1:6">
      <c r="A10" s="43"/>
      <c r="B10" s="44"/>
      <c r="C10" s="13"/>
      <c r="D10" s="44"/>
    </row>
    <row r="11" spans="1:6">
      <c r="B11" s="10"/>
      <c r="E11" s="13"/>
    </row>
    <row r="12" spans="1:6" ht="33.75" customHeight="1">
      <c r="A12" s="217" t="s">
        <v>229</v>
      </c>
      <c r="B12" s="218"/>
      <c r="C12" s="218"/>
      <c r="D12" s="219"/>
      <c r="E12" s="46"/>
    </row>
    <row r="13" spans="1:6" ht="51">
      <c r="A13" s="64"/>
      <c r="B13" s="80" t="s">
        <v>42</v>
      </c>
      <c r="C13" s="80" t="s">
        <v>226</v>
      </c>
      <c r="D13" s="65" t="s">
        <v>227</v>
      </c>
    </row>
    <row r="14" spans="1:6" ht="15.75" customHeight="1">
      <c r="A14" s="220" t="s">
        <v>29</v>
      </c>
      <c r="B14" s="221"/>
      <c r="C14" s="221"/>
      <c r="D14" s="222"/>
    </row>
    <row r="15" spans="1:6">
      <c r="A15" s="38" t="s">
        <v>28</v>
      </c>
      <c r="B15" s="82">
        <v>4.0000000000000001E-3</v>
      </c>
      <c r="C15" s="83">
        <v>1</v>
      </c>
      <c r="D15" s="67">
        <f>B15*C15</f>
        <v>4.0000000000000001E-3</v>
      </c>
    </row>
    <row r="16" spans="1:6">
      <c r="A16" s="30" t="s">
        <v>27</v>
      </c>
      <c r="B16" s="50">
        <v>1.7999999999999999E-2</v>
      </c>
      <c r="C16" s="49">
        <v>1</v>
      </c>
      <c r="D16" s="60">
        <f>B16*C16</f>
        <v>1.7999999999999999E-2</v>
      </c>
    </row>
    <row r="17" spans="1:4">
      <c r="A17" s="30" t="s">
        <v>210</v>
      </c>
      <c r="B17" s="50">
        <v>2.3E-2</v>
      </c>
      <c r="C17" s="49">
        <v>1</v>
      </c>
      <c r="D17" s="60">
        <f>B17*C17</f>
        <v>2.3E-2</v>
      </c>
    </row>
    <row r="18" spans="1:4">
      <c r="A18" s="30" t="s">
        <v>26</v>
      </c>
      <c r="B18" s="50">
        <v>5.1799999999999999E-2</v>
      </c>
      <c r="C18" s="51" t="s">
        <v>11</v>
      </c>
      <c r="D18" s="60">
        <f>SUM(D23:D29)/100*7</f>
        <v>5.6043749999999996E-2</v>
      </c>
    </row>
    <row r="19" spans="1:4">
      <c r="A19" s="30" t="s">
        <v>25</v>
      </c>
      <c r="B19" s="50">
        <v>0.01</v>
      </c>
      <c r="C19" s="49">
        <v>1</v>
      </c>
      <c r="D19" s="60">
        <f>B19*C19</f>
        <v>0.01</v>
      </c>
    </row>
    <row r="20" spans="1:4">
      <c r="A20" s="30" t="s">
        <v>24</v>
      </c>
      <c r="B20" s="50">
        <v>2.1360000000000001E-2</v>
      </c>
      <c r="C20" s="51" t="s">
        <v>11</v>
      </c>
      <c r="D20" s="60">
        <f>SUM(D15:D19)/100*20</f>
        <v>2.2208749999999999E-2</v>
      </c>
    </row>
    <row r="21" spans="1:4">
      <c r="A21" s="6" t="s">
        <v>14</v>
      </c>
      <c r="B21" s="53">
        <f>SUM(B15:B20)</f>
        <v>0.12816</v>
      </c>
      <c r="C21" s="52" t="s">
        <v>11</v>
      </c>
      <c r="D21" s="68">
        <f>SUM(D15:D20)</f>
        <v>0.1332525</v>
      </c>
    </row>
    <row r="22" spans="1:4" ht="15.75" customHeight="1">
      <c r="A22" s="217" t="s">
        <v>23</v>
      </c>
      <c r="B22" s="218"/>
      <c r="C22" s="218"/>
      <c r="D22" s="219"/>
    </row>
    <row r="23" spans="1:4">
      <c r="A23" s="30" t="s">
        <v>22</v>
      </c>
      <c r="B23" s="50">
        <v>1E-3</v>
      </c>
      <c r="C23" s="49">
        <v>1</v>
      </c>
      <c r="D23" s="60">
        <f t="shared" ref="D23:D29" si="0">B23*C23</f>
        <v>1E-3</v>
      </c>
    </row>
    <row r="24" spans="1:4">
      <c r="A24" s="30" t="s">
        <v>21</v>
      </c>
      <c r="B24" s="50">
        <v>8.0000000000000002E-3</v>
      </c>
      <c r="C24" s="49">
        <v>1</v>
      </c>
      <c r="D24" s="60">
        <f t="shared" si="0"/>
        <v>8.0000000000000002E-3</v>
      </c>
    </row>
    <row r="25" spans="1:4">
      <c r="A25" s="30" t="s">
        <v>20</v>
      </c>
      <c r="B25" s="50">
        <v>3.0000000000000001E-3</v>
      </c>
      <c r="C25" s="49">
        <v>1</v>
      </c>
      <c r="D25" s="60">
        <f t="shared" si="0"/>
        <v>3.0000000000000001E-3</v>
      </c>
    </row>
    <row r="26" spans="1:4">
      <c r="A26" s="30" t="s">
        <v>19</v>
      </c>
      <c r="B26" s="50">
        <v>7.8039999999999998E-2</v>
      </c>
      <c r="C26" s="49">
        <v>1.5</v>
      </c>
      <c r="D26" s="60">
        <f t="shared" si="0"/>
        <v>0.11706</v>
      </c>
    </row>
    <row r="27" spans="1:4">
      <c r="A27" s="30" t="s">
        <v>18</v>
      </c>
      <c r="B27" s="50">
        <v>0.22961000000000001</v>
      </c>
      <c r="C27" s="49">
        <v>1.5</v>
      </c>
      <c r="D27" s="60">
        <f t="shared" si="0"/>
        <v>0.34441500000000003</v>
      </c>
    </row>
    <row r="28" spans="1:4">
      <c r="A28" s="30" t="s">
        <v>17</v>
      </c>
      <c r="B28" s="50">
        <v>7.4099999999999999E-2</v>
      </c>
      <c r="C28" s="49">
        <v>1.5</v>
      </c>
      <c r="D28" s="60">
        <f t="shared" si="0"/>
        <v>0.11115</v>
      </c>
    </row>
    <row r="29" spans="1:4">
      <c r="A29" s="30" t="s">
        <v>16</v>
      </c>
      <c r="B29" s="50">
        <v>0.14399999999999999</v>
      </c>
      <c r="C29" s="49">
        <v>1.5</v>
      </c>
      <c r="D29" s="60">
        <f t="shared" si="0"/>
        <v>0.21599999999999997</v>
      </c>
    </row>
    <row r="30" spans="1:4">
      <c r="A30" s="30" t="s">
        <v>15</v>
      </c>
      <c r="B30" s="50">
        <f>(SUM(B23:B29))/100*25</f>
        <v>0.13443749999999999</v>
      </c>
      <c r="C30" s="51" t="s">
        <v>11</v>
      </c>
      <c r="D30" s="60">
        <f>SUM(D23:D29)/100*25</f>
        <v>0.20015624999999998</v>
      </c>
    </row>
    <row r="31" spans="1:4">
      <c r="A31" s="6" t="s">
        <v>14</v>
      </c>
      <c r="B31" s="53">
        <f>SUM(B23:B30)</f>
        <v>0.67218749999999994</v>
      </c>
      <c r="C31" s="56" t="s">
        <v>11</v>
      </c>
      <c r="D31" s="68">
        <f>SUM(D23:D30)</f>
        <v>1.00078125</v>
      </c>
    </row>
    <row r="32" spans="1:4">
      <c r="A32" s="62" t="s">
        <v>260</v>
      </c>
      <c r="B32" s="84">
        <f>B31+B21</f>
        <v>0.80034749999999999</v>
      </c>
      <c r="C32" s="85" t="s">
        <v>11</v>
      </c>
      <c r="D32" s="63">
        <f>D31+D21</f>
        <v>1.13403375</v>
      </c>
    </row>
    <row r="33" spans="1:6" ht="33.75" customHeight="1">
      <c r="A33" s="244" t="s">
        <v>228</v>
      </c>
      <c r="B33" s="244"/>
      <c r="C33" s="244"/>
      <c r="D33" s="244"/>
      <c r="E33" s="46"/>
    </row>
    <row r="34" spans="1:6" ht="14.25" customHeight="1">
      <c r="A34" s="90"/>
      <c r="B34" s="46"/>
      <c r="C34" s="46"/>
      <c r="D34" s="46"/>
      <c r="E34" s="46"/>
    </row>
    <row r="35" spans="1:6">
      <c r="A35" s="45"/>
    </row>
    <row r="36" spans="1:6" ht="29.25" customHeight="1">
      <c r="A36" s="243" t="s">
        <v>38</v>
      </c>
      <c r="B36" s="243"/>
      <c r="C36" s="243"/>
      <c r="D36" s="243"/>
      <c r="E36" s="243"/>
      <c r="F36" s="243"/>
    </row>
    <row r="37" spans="1:6" ht="37.5" customHeight="1">
      <c r="A37" s="217" t="s">
        <v>36</v>
      </c>
      <c r="B37" s="218"/>
      <c r="C37" s="218"/>
      <c r="D37" s="219"/>
      <c r="E37" s="46"/>
    </row>
    <row r="38" spans="1:6" ht="51">
      <c r="A38" s="64"/>
      <c r="B38" s="80" t="s">
        <v>42</v>
      </c>
      <c r="C38" s="80" t="s">
        <v>226</v>
      </c>
      <c r="D38" s="65" t="s">
        <v>227</v>
      </c>
      <c r="E38" s="13"/>
    </row>
    <row r="39" spans="1:6" ht="30.75" customHeight="1">
      <c r="A39" s="74" t="s">
        <v>34</v>
      </c>
      <c r="B39" s="88">
        <v>5.3913999999999997E-2</v>
      </c>
      <c r="C39" s="83">
        <v>1.5</v>
      </c>
      <c r="D39" s="67">
        <f>B39*C39</f>
        <v>8.0870999999999998E-2</v>
      </c>
      <c r="E39" s="13"/>
    </row>
    <row r="40" spans="1:6">
      <c r="A40" s="30" t="s">
        <v>33</v>
      </c>
      <c r="B40" s="86">
        <v>6.0135000000000001E-2</v>
      </c>
      <c r="C40" s="49">
        <v>1</v>
      </c>
      <c r="D40" s="60">
        <f>B40*C40</f>
        <v>6.0135000000000001E-2</v>
      </c>
      <c r="E40" s="13"/>
    </row>
    <row r="41" spans="1:6">
      <c r="A41" s="62" t="s">
        <v>32</v>
      </c>
      <c r="B41" s="84">
        <f>B40+B39</f>
        <v>0.114049</v>
      </c>
      <c r="C41" s="89"/>
      <c r="D41" s="63">
        <f>D40+D39</f>
        <v>0.14100599999999999</v>
      </c>
      <c r="E41" s="13"/>
    </row>
    <row r="42" spans="1:6">
      <c r="A42" s="13" t="s">
        <v>31</v>
      </c>
      <c r="B42" s="13"/>
      <c r="C42" s="13"/>
      <c r="D42" s="13"/>
      <c r="E42" s="13"/>
    </row>
    <row r="43" spans="1:6" ht="30" customHeight="1">
      <c r="A43" s="245" t="s">
        <v>228</v>
      </c>
      <c r="B43" s="245"/>
      <c r="C43" s="245"/>
      <c r="D43" s="245"/>
      <c r="E43" s="46"/>
    </row>
  </sheetData>
  <sheetProtection password="8725" sheet="1" objects="1" scenarios="1"/>
  <customSheetViews>
    <customSheetView guid="{501AA260-4F68-4F83-9D73-4CAC5C0FE660}" topLeftCell="A12">
      <selection activeCell="A20" sqref="A20"/>
      <pageMargins left="0.7" right="0.7" top="0.75" bottom="0.75" header="0.3" footer="0.3"/>
    </customSheetView>
    <customSheetView guid="{49FA9399-7025-4F3A-8583-7789089E8EA0}" topLeftCell="A5">
      <selection activeCell="A6" sqref="A6"/>
      <pageMargins left="0.7" right="0.7" top="0.75" bottom="0.75" header="0.3" footer="0.3"/>
    </customSheetView>
  </customSheetViews>
  <mergeCells count="9">
    <mergeCell ref="A3:F3"/>
    <mergeCell ref="A36:F36"/>
    <mergeCell ref="A33:D33"/>
    <mergeCell ref="A43:D43"/>
    <mergeCell ref="A5:B5"/>
    <mergeCell ref="A12:D12"/>
    <mergeCell ref="A22:D22"/>
    <mergeCell ref="A14:D14"/>
    <mergeCell ref="A37:D3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6"/>
  <sheetViews>
    <sheetView zoomScale="80" zoomScaleNormal="80" workbookViewId="0">
      <selection activeCell="E19" sqref="E19"/>
    </sheetView>
  </sheetViews>
  <sheetFormatPr defaultRowHeight="12.75"/>
  <cols>
    <col min="1" max="1" width="36.42578125" style="11" customWidth="1"/>
    <col min="2" max="2" width="20" style="11" customWidth="1"/>
    <col min="3" max="3" width="22.85546875" style="11" customWidth="1"/>
    <col min="4" max="4" width="17.28515625" style="11" customWidth="1"/>
    <col min="5" max="6" width="13.28515625" style="11" customWidth="1"/>
    <col min="7" max="16384" width="9.140625" style="11"/>
  </cols>
  <sheetData>
    <row r="1" spans="1:6" s="18" customFormat="1" ht="38.25" customHeight="1">
      <c r="A1" s="17" t="s">
        <v>263</v>
      </c>
    </row>
    <row r="2" spans="1:6">
      <c r="A2" s="1"/>
    </row>
    <row r="4" spans="1:6" ht="66.75" customHeight="1">
      <c r="A4" s="233" t="s">
        <v>13</v>
      </c>
      <c r="B4" s="233"/>
      <c r="C4" s="233"/>
      <c r="D4" s="233"/>
      <c r="E4" s="233"/>
      <c r="F4" s="233"/>
    </row>
    <row r="6" spans="1:6" ht="36" customHeight="1">
      <c r="A6" s="235" t="s">
        <v>37</v>
      </c>
      <c r="B6" s="236"/>
      <c r="C6" s="13"/>
      <c r="D6" s="13"/>
      <c r="E6" s="13"/>
    </row>
    <row r="7" spans="1:6" ht="25.5">
      <c r="A7" s="64"/>
      <c r="B7" s="65" t="s">
        <v>12</v>
      </c>
      <c r="C7" s="13"/>
      <c r="D7" s="13"/>
      <c r="E7" s="13"/>
    </row>
    <row r="8" spans="1:6">
      <c r="A8" s="30" t="s">
        <v>0</v>
      </c>
      <c r="B8" s="60">
        <v>5.5500000000000001E-2</v>
      </c>
      <c r="C8" s="13"/>
      <c r="D8" s="13"/>
      <c r="E8" s="13"/>
    </row>
    <row r="9" spans="1:6">
      <c r="A9" s="30" t="s">
        <v>1</v>
      </c>
      <c r="B9" s="60">
        <v>3.4687999999999997E-2</v>
      </c>
      <c r="C9" s="13"/>
      <c r="D9" s="13"/>
      <c r="E9" s="13"/>
    </row>
    <row r="10" spans="1:6">
      <c r="A10" s="62" t="s">
        <v>2</v>
      </c>
      <c r="B10" s="63">
        <f>B9+B8</f>
        <v>9.018799999999999E-2</v>
      </c>
      <c r="C10" s="13"/>
      <c r="D10" s="13"/>
      <c r="E10" s="13"/>
    </row>
    <row r="11" spans="1:6">
      <c r="A11" s="43"/>
      <c r="B11" s="44"/>
      <c r="C11" s="13"/>
      <c r="D11" s="44"/>
      <c r="E11" s="13"/>
    </row>
    <row r="12" spans="1:6">
      <c r="A12" s="13"/>
      <c r="B12" s="10"/>
      <c r="C12" s="13"/>
      <c r="D12" s="13"/>
      <c r="E12" s="13"/>
    </row>
    <row r="13" spans="1:6" ht="36.75" customHeight="1">
      <c r="A13" s="217" t="s">
        <v>35</v>
      </c>
      <c r="B13" s="218"/>
      <c r="C13" s="218"/>
      <c r="D13" s="219"/>
      <c r="E13" s="46"/>
    </row>
    <row r="14" spans="1:6" ht="51">
      <c r="A14" s="64"/>
      <c r="B14" s="80" t="s">
        <v>42</v>
      </c>
      <c r="C14" s="80" t="s">
        <v>30</v>
      </c>
      <c r="D14" s="65" t="s">
        <v>43</v>
      </c>
      <c r="E14" s="13"/>
    </row>
    <row r="15" spans="1:6" ht="15" customHeight="1">
      <c r="A15" s="220" t="s">
        <v>29</v>
      </c>
      <c r="B15" s="221"/>
      <c r="C15" s="221"/>
      <c r="D15" s="222"/>
      <c r="E15" s="13"/>
    </row>
    <row r="16" spans="1:6">
      <c r="A16" s="38" t="s">
        <v>28</v>
      </c>
      <c r="B16" s="82">
        <v>4.0000000000000001E-3</v>
      </c>
      <c r="C16" s="83">
        <v>1</v>
      </c>
      <c r="D16" s="67">
        <f>B16*C16</f>
        <v>4.0000000000000001E-3</v>
      </c>
      <c r="E16" s="13"/>
    </row>
    <row r="17" spans="1:5">
      <c r="A17" s="30" t="s">
        <v>27</v>
      </c>
      <c r="B17" s="50">
        <v>1.7999999999999999E-2</v>
      </c>
      <c r="C17" s="49">
        <v>1</v>
      </c>
      <c r="D17" s="60">
        <f>B17*C17</f>
        <v>1.7999999999999999E-2</v>
      </c>
      <c r="E17" s="13"/>
    </row>
    <row r="18" spans="1:5">
      <c r="A18" s="30" t="s">
        <v>210</v>
      </c>
      <c r="B18" s="50">
        <v>2.3E-2</v>
      </c>
      <c r="C18" s="49">
        <v>1</v>
      </c>
      <c r="D18" s="60">
        <f>B18*C18</f>
        <v>2.3E-2</v>
      </c>
      <c r="E18" s="13"/>
    </row>
    <row r="19" spans="1:5">
      <c r="A19" s="30" t="s">
        <v>26</v>
      </c>
      <c r="B19" s="50">
        <v>5.1799999999999999E-2</v>
      </c>
      <c r="C19" s="51" t="s">
        <v>11</v>
      </c>
      <c r="D19" s="60">
        <f>SUM(D24:D30)/100*7</f>
        <v>1.9241249999999998E-2</v>
      </c>
      <c r="E19" s="13"/>
    </row>
    <row r="20" spans="1:5">
      <c r="A20" s="30" t="s">
        <v>25</v>
      </c>
      <c r="B20" s="50">
        <v>0.01</v>
      </c>
      <c r="C20" s="49">
        <v>1</v>
      </c>
      <c r="D20" s="60">
        <f>B20*C20</f>
        <v>0.01</v>
      </c>
      <c r="E20" s="13"/>
    </row>
    <row r="21" spans="1:5">
      <c r="A21" s="30" t="s">
        <v>24</v>
      </c>
      <c r="B21" s="50">
        <v>2.1360000000000001E-2</v>
      </c>
      <c r="C21" s="51" t="s">
        <v>11</v>
      </c>
      <c r="D21" s="60">
        <f>SUM(D16:D20)/100*20</f>
        <v>1.484825E-2</v>
      </c>
      <c r="E21" s="13"/>
    </row>
    <row r="22" spans="1:5">
      <c r="A22" s="6" t="s">
        <v>14</v>
      </c>
      <c r="B22" s="53">
        <f>SUM(B16:B21)</f>
        <v>0.12816</v>
      </c>
      <c r="C22" s="52" t="s">
        <v>11</v>
      </c>
      <c r="D22" s="68">
        <f>SUM(D16:D21)</f>
        <v>8.9089499999999988E-2</v>
      </c>
      <c r="E22" s="13"/>
    </row>
    <row r="23" spans="1:5">
      <c r="A23" s="217" t="s">
        <v>23</v>
      </c>
      <c r="B23" s="218"/>
      <c r="C23" s="218"/>
      <c r="D23" s="219"/>
      <c r="E23" s="13"/>
    </row>
    <row r="24" spans="1:5">
      <c r="A24" s="30" t="s">
        <v>22</v>
      </c>
      <c r="B24" s="50">
        <v>1E-3</v>
      </c>
      <c r="C24" s="49">
        <v>1</v>
      </c>
      <c r="D24" s="60">
        <f t="shared" ref="D24:D30" si="0">B24*C24</f>
        <v>1E-3</v>
      </c>
      <c r="E24" s="13"/>
    </row>
    <row r="25" spans="1:5">
      <c r="A25" s="30" t="s">
        <v>21</v>
      </c>
      <c r="B25" s="50">
        <v>8.0000000000000002E-3</v>
      </c>
      <c r="C25" s="49">
        <v>1</v>
      </c>
      <c r="D25" s="60">
        <f t="shared" si="0"/>
        <v>8.0000000000000002E-3</v>
      </c>
      <c r="E25" s="13"/>
    </row>
    <row r="26" spans="1:5">
      <c r="A26" s="30" t="s">
        <v>20</v>
      </c>
      <c r="B26" s="50">
        <v>3.0000000000000001E-3</v>
      </c>
      <c r="C26" s="49">
        <v>1</v>
      </c>
      <c r="D26" s="60">
        <f t="shared" si="0"/>
        <v>3.0000000000000001E-3</v>
      </c>
      <c r="E26" s="13"/>
    </row>
    <row r="27" spans="1:5">
      <c r="A27" s="30" t="s">
        <v>19</v>
      </c>
      <c r="B27" s="50">
        <v>7.8039999999999998E-2</v>
      </c>
      <c r="C27" s="49">
        <v>0.5</v>
      </c>
      <c r="D27" s="60">
        <f t="shared" si="0"/>
        <v>3.9019999999999999E-2</v>
      </c>
      <c r="E27" s="13"/>
    </row>
    <row r="28" spans="1:5">
      <c r="A28" s="30" t="s">
        <v>18</v>
      </c>
      <c r="B28" s="50">
        <v>0.22961000000000001</v>
      </c>
      <c r="C28" s="49">
        <v>0.5</v>
      </c>
      <c r="D28" s="60">
        <f t="shared" si="0"/>
        <v>0.114805</v>
      </c>
      <c r="E28" s="13"/>
    </row>
    <row r="29" spans="1:5">
      <c r="A29" s="30" t="s">
        <v>17</v>
      </c>
      <c r="B29" s="50">
        <v>7.4099999999999999E-2</v>
      </c>
      <c r="C29" s="49">
        <v>0.5</v>
      </c>
      <c r="D29" s="60">
        <f t="shared" si="0"/>
        <v>3.705E-2</v>
      </c>
      <c r="E29" s="13"/>
    </row>
    <row r="30" spans="1:5">
      <c r="A30" s="30" t="s">
        <v>16</v>
      </c>
      <c r="B30" s="50">
        <v>0.14399999999999999</v>
      </c>
      <c r="C30" s="49">
        <v>0.5</v>
      </c>
      <c r="D30" s="60">
        <f t="shared" si="0"/>
        <v>7.1999999999999995E-2</v>
      </c>
      <c r="E30" s="13"/>
    </row>
    <row r="31" spans="1:5">
      <c r="A31" s="30" t="s">
        <v>15</v>
      </c>
      <c r="B31" s="50">
        <f>(SUM(B24:B30))/100*25</f>
        <v>0.13443749999999999</v>
      </c>
      <c r="C31" s="51" t="s">
        <v>11</v>
      </c>
      <c r="D31" s="60">
        <f>SUM(D24:D30)/100*25</f>
        <v>6.8718749999999995E-2</v>
      </c>
      <c r="E31" s="13"/>
    </row>
    <row r="32" spans="1:5">
      <c r="A32" s="6" t="s">
        <v>14</v>
      </c>
      <c r="B32" s="53">
        <f>SUM(B24:B31)</f>
        <v>0.67218749999999994</v>
      </c>
      <c r="C32" s="56" t="s">
        <v>11</v>
      </c>
      <c r="D32" s="68">
        <f>SUM(D24:D31)</f>
        <v>0.34359374999999998</v>
      </c>
      <c r="E32" s="13"/>
    </row>
    <row r="33" spans="1:7">
      <c r="A33" s="62" t="s">
        <v>260</v>
      </c>
      <c r="B33" s="84">
        <f>B32+B22</f>
        <v>0.80034749999999999</v>
      </c>
      <c r="C33" s="85" t="s">
        <v>11</v>
      </c>
      <c r="D33" s="63">
        <f>D32+D22</f>
        <v>0.43268324999999996</v>
      </c>
      <c r="E33" s="13"/>
    </row>
    <row r="34" spans="1:7" ht="29.25" customHeight="1">
      <c r="A34" s="246" t="s">
        <v>44</v>
      </c>
      <c r="B34" s="246"/>
      <c r="C34" s="246"/>
      <c r="D34" s="246"/>
      <c r="E34" s="46"/>
    </row>
    <row r="35" spans="1:7" ht="14.25" customHeight="1">
      <c r="A35" s="95"/>
      <c r="B35" s="95"/>
      <c r="C35" s="95"/>
      <c r="D35" s="95"/>
      <c r="E35" s="46"/>
    </row>
    <row r="36" spans="1:7">
      <c r="A36" s="45"/>
      <c r="B36" s="13"/>
      <c r="C36" s="13"/>
      <c r="D36" s="13"/>
      <c r="E36" s="13"/>
    </row>
    <row r="37" spans="1:7" ht="30" customHeight="1">
      <c r="A37" s="247" t="s">
        <v>38</v>
      </c>
      <c r="B37" s="247"/>
      <c r="C37" s="247"/>
      <c r="D37" s="247"/>
      <c r="E37" s="247"/>
      <c r="F37" s="247"/>
      <c r="G37" s="94"/>
    </row>
    <row r="38" spans="1:7" ht="36.75" customHeight="1">
      <c r="A38" s="217" t="s">
        <v>36</v>
      </c>
      <c r="B38" s="218"/>
      <c r="C38" s="218"/>
      <c r="D38" s="219"/>
      <c r="E38" s="46"/>
    </row>
    <row r="39" spans="1:7" ht="51">
      <c r="A39" s="64"/>
      <c r="B39" s="80" t="s">
        <v>42</v>
      </c>
      <c r="C39" s="80" t="s">
        <v>30</v>
      </c>
      <c r="D39" s="65" t="s">
        <v>43</v>
      </c>
      <c r="E39" s="13"/>
    </row>
    <row r="40" spans="1:7" ht="30.75" customHeight="1">
      <c r="A40" s="74" t="s">
        <v>34</v>
      </c>
      <c r="B40" s="88">
        <v>5.3913999999999997E-2</v>
      </c>
      <c r="C40" s="83">
        <v>0.5</v>
      </c>
      <c r="D40" s="67">
        <f>B40*C40</f>
        <v>2.6956999999999998E-2</v>
      </c>
      <c r="E40" s="13"/>
    </row>
    <row r="41" spans="1:7">
      <c r="A41" s="30" t="s">
        <v>33</v>
      </c>
      <c r="B41" s="86">
        <v>6.0135000000000001E-2</v>
      </c>
      <c r="C41" s="49">
        <v>1</v>
      </c>
      <c r="D41" s="60">
        <f>B41*C41</f>
        <v>6.0135000000000001E-2</v>
      </c>
      <c r="E41" s="13"/>
    </row>
    <row r="42" spans="1:7">
      <c r="A42" s="62" t="s">
        <v>32</v>
      </c>
      <c r="B42" s="84">
        <f>B41+B40</f>
        <v>0.114049</v>
      </c>
      <c r="C42" s="89"/>
      <c r="D42" s="63">
        <f>D41+D40</f>
        <v>8.7092000000000003E-2</v>
      </c>
      <c r="E42" s="13"/>
    </row>
    <row r="43" spans="1:7">
      <c r="A43" s="13" t="s">
        <v>31</v>
      </c>
      <c r="B43" s="13"/>
      <c r="C43" s="13"/>
      <c r="D43" s="13"/>
      <c r="E43" s="13"/>
    </row>
    <row r="44" spans="1:7" ht="27.75" customHeight="1">
      <c r="A44" s="245" t="s">
        <v>44</v>
      </c>
      <c r="B44" s="245"/>
      <c r="C44" s="245"/>
      <c r="D44" s="245"/>
      <c r="E44" s="46"/>
    </row>
    <row r="45" spans="1:7">
      <c r="A45" s="13"/>
      <c r="B45" s="13"/>
      <c r="C45" s="13"/>
      <c r="D45" s="13"/>
      <c r="E45" s="13"/>
      <c r="F45" s="13"/>
    </row>
    <row r="46" spans="1:7">
      <c r="A46" s="13"/>
      <c r="B46" s="13"/>
      <c r="C46" s="13"/>
      <c r="D46" s="13"/>
      <c r="E46" s="13"/>
      <c r="F46" s="13"/>
    </row>
  </sheetData>
  <sheetProtection password="8725" sheet="1" objects="1" scenarios="1"/>
  <customSheetViews>
    <customSheetView guid="{501AA260-4F68-4F83-9D73-4CAC5C0FE660}" topLeftCell="A7">
      <selection activeCell="A20" sqref="A20"/>
      <pageMargins left="0.7" right="0.7" top="0.75" bottom="0.75" header="0.3" footer="0.3"/>
    </customSheetView>
    <customSheetView guid="{49FA9399-7025-4F3A-8583-7789089E8EA0}" topLeftCell="A7">
      <selection activeCell="A20" sqref="A20"/>
      <pageMargins left="0.7" right="0.7" top="0.75" bottom="0.75" header="0.3" footer="0.3"/>
    </customSheetView>
  </customSheetViews>
  <mergeCells count="9">
    <mergeCell ref="A44:D44"/>
    <mergeCell ref="A6:B6"/>
    <mergeCell ref="A4:F4"/>
    <mergeCell ref="A13:D13"/>
    <mergeCell ref="A15:D15"/>
    <mergeCell ref="A23:D23"/>
    <mergeCell ref="A34:D34"/>
    <mergeCell ref="A38:D38"/>
    <mergeCell ref="A37:F3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45"/>
  <sheetViews>
    <sheetView zoomScale="80" zoomScaleNormal="80" workbookViewId="0">
      <selection activeCell="D18" sqref="D18"/>
    </sheetView>
  </sheetViews>
  <sheetFormatPr defaultRowHeight="12.75"/>
  <cols>
    <col min="1" max="1" width="36.42578125" style="11" customWidth="1"/>
    <col min="2" max="2" width="17.28515625" style="11" customWidth="1"/>
    <col min="3" max="3" width="25.85546875" style="11" customWidth="1"/>
    <col min="4" max="4" width="17.28515625" style="11" customWidth="1"/>
    <col min="5" max="6" width="13.28515625" style="11" customWidth="1"/>
    <col min="7" max="16384" width="9.140625" style="11"/>
  </cols>
  <sheetData>
    <row r="1" spans="1:6" s="18" customFormat="1" ht="38.25" customHeight="1">
      <c r="A1" s="17" t="s">
        <v>264</v>
      </c>
    </row>
    <row r="2" spans="1:6">
      <c r="A2" s="1"/>
    </row>
    <row r="4" spans="1:6" ht="42.75" customHeight="1">
      <c r="A4" s="233" t="s">
        <v>45</v>
      </c>
      <c r="B4" s="233"/>
      <c r="C4" s="233"/>
      <c r="D4" s="233"/>
      <c r="E4" s="233"/>
      <c r="F4" s="233"/>
    </row>
    <row r="6" spans="1:6" ht="38.25" customHeight="1">
      <c r="A6" s="235" t="s">
        <v>46</v>
      </c>
      <c r="B6" s="248"/>
      <c r="C6" s="13"/>
      <c r="D6" s="13"/>
      <c r="E6" s="13"/>
    </row>
    <row r="7" spans="1:6" ht="25.5">
      <c r="A7" s="76"/>
      <c r="B7" s="77" t="s">
        <v>12</v>
      </c>
      <c r="C7" s="13"/>
      <c r="D7" s="13"/>
      <c r="E7" s="13"/>
    </row>
    <row r="8" spans="1:6">
      <c r="A8" s="38" t="s">
        <v>0</v>
      </c>
      <c r="B8" s="67">
        <v>1.7999999999999999E-2</v>
      </c>
      <c r="C8" s="13"/>
      <c r="D8" s="13"/>
      <c r="E8" s="13"/>
    </row>
    <row r="9" spans="1:6">
      <c r="A9" s="30" t="s">
        <v>1</v>
      </c>
      <c r="B9" s="60">
        <v>8.9999999999999993E-3</v>
      </c>
      <c r="C9" s="13"/>
      <c r="D9" s="13"/>
      <c r="E9" s="13"/>
    </row>
    <row r="10" spans="1:6">
      <c r="A10" s="62" t="s">
        <v>47</v>
      </c>
      <c r="B10" s="63">
        <f>B9+B8</f>
        <v>2.6999999999999996E-2</v>
      </c>
      <c r="C10" s="13"/>
      <c r="D10" s="13"/>
      <c r="E10" s="13"/>
    </row>
    <row r="11" spans="1:6">
      <c r="A11" s="43"/>
      <c r="B11" s="44"/>
      <c r="C11" s="13"/>
      <c r="D11" s="44"/>
      <c r="E11" s="13"/>
    </row>
    <row r="12" spans="1:6">
      <c r="A12" s="13"/>
      <c r="B12" s="10"/>
      <c r="C12" s="13"/>
      <c r="D12" s="13"/>
      <c r="E12" s="13"/>
    </row>
    <row r="13" spans="1:6" ht="38.25" customHeight="1">
      <c r="A13" s="217" t="s">
        <v>49</v>
      </c>
      <c r="B13" s="218"/>
      <c r="C13" s="218"/>
      <c r="D13" s="219"/>
      <c r="E13" s="46"/>
    </row>
    <row r="14" spans="1:6" ht="55.5" customHeight="1">
      <c r="A14" s="91"/>
      <c r="B14" s="96" t="s">
        <v>42</v>
      </c>
      <c r="C14" s="96" t="s">
        <v>51</v>
      </c>
      <c r="D14" s="92" t="s">
        <v>50</v>
      </c>
      <c r="E14" s="13"/>
    </row>
    <row r="15" spans="1:6">
      <c r="A15" s="220" t="s">
        <v>29</v>
      </c>
      <c r="B15" s="221"/>
      <c r="C15" s="221"/>
      <c r="D15" s="222"/>
      <c r="E15" s="13"/>
    </row>
    <row r="16" spans="1:6">
      <c r="A16" s="38" t="s">
        <v>28</v>
      </c>
      <c r="B16" s="82">
        <v>4.0000000000000001E-3</v>
      </c>
      <c r="C16" s="83">
        <v>1</v>
      </c>
      <c r="D16" s="67">
        <f>B16*C16</f>
        <v>4.0000000000000001E-3</v>
      </c>
      <c r="E16" s="13"/>
    </row>
    <row r="17" spans="1:5">
      <c r="A17" s="30" t="s">
        <v>27</v>
      </c>
      <c r="B17" s="50">
        <v>1.7999999999999999E-2</v>
      </c>
      <c r="C17" s="49">
        <v>1</v>
      </c>
      <c r="D17" s="60">
        <f>B17*C17</f>
        <v>1.7999999999999999E-2</v>
      </c>
      <c r="E17" s="13"/>
    </row>
    <row r="18" spans="1:5">
      <c r="A18" s="30" t="s">
        <v>210</v>
      </c>
      <c r="B18" s="50">
        <v>2.3E-2</v>
      </c>
      <c r="C18" s="49">
        <v>1</v>
      </c>
      <c r="D18" s="60">
        <f>B18*C18</f>
        <v>2.3E-2</v>
      </c>
      <c r="E18" s="13"/>
    </row>
    <row r="19" spans="1:5">
      <c r="A19" s="30" t="s">
        <v>26</v>
      </c>
      <c r="B19" s="50">
        <v>5.1799999999999999E-2</v>
      </c>
      <c r="C19" s="51" t="s">
        <v>11</v>
      </c>
      <c r="D19" s="60">
        <f>SUM(D24:D30)/100*7</f>
        <v>6.3603750000000006E-3</v>
      </c>
      <c r="E19" s="13"/>
    </row>
    <row r="20" spans="1:5">
      <c r="A20" s="30" t="s">
        <v>25</v>
      </c>
      <c r="B20" s="50">
        <v>0.01</v>
      </c>
      <c r="C20" s="49">
        <v>1</v>
      </c>
      <c r="D20" s="60">
        <f>B20*C20</f>
        <v>0.01</v>
      </c>
      <c r="E20" s="13"/>
    </row>
    <row r="21" spans="1:5">
      <c r="A21" s="30" t="s">
        <v>24</v>
      </c>
      <c r="B21" s="50">
        <v>2.1360000000000001E-2</v>
      </c>
      <c r="C21" s="51" t="s">
        <v>11</v>
      </c>
      <c r="D21" s="60">
        <f>SUM(D16:D20)/100*20</f>
        <v>1.2272075E-2</v>
      </c>
      <c r="E21" s="13"/>
    </row>
    <row r="22" spans="1:5">
      <c r="A22" s="6" t="s">
        <v>14</v>
      </c>
      <c r="B22" s="53">
        <f>SUM(B16:B21)</f>
        <v>0.12816</v>
      </c>
      <c r="C22" s="52" t="s">
        <v>11</v>
      </c>
      <c r="D22" s="68">
        <f>SUM(D16:D21)</f>
        <v>7.3632450000000002E-2</v>
      </c>
      <c r="E22" s="13"/>
    </row>
    <row r="23" spans="1:5">
      <c r="A23" s="220" t="s">
        <v>23</v>
      </c>
      <c r="B23" s="221"/>
      <c r="C23" s="221"/>
      <c r="D23" s="222"/>
      <c r="E23" s="13"/>
    </row>
    <row r="24" spans="1:5">
      <c r="A24" s="30" t="s">
        <v>22</v>
      </c>
      <c r="B24" s="50">
        <v>1E-3</v>
      </c>
      <c r="C24" s="49">
        <v>1</v>
      </c>
      <c r="D24" s="60">
        <f t="shared" ref="D24:D30" si="0">B24*C24</f>
        <v>1E-3</v>
      </c>
      <c r="E24" s="13"/>
    </row>
    <row r="25" spans="1:5">
      <c r="A25" s="30" t="s">
        <v>21</v>
      </c>
      <c r="B25" s="50">
        <v>8.0000000000000002E-3</v>
      </c>
      <c r="C25" s="49">
        <v>1</v>
      </c>
      <c r="D25" s="60">
        <f t="shared" si="0"/>
        <v>8.0000000000000002E-3</v>
      </c>
      <c r="E25" s="13"/>
    </row>
    <row r="26" spans="1:5">
      <c r="A26" s="30" t="s">
        <v>20</v>
      </c>
      <c r="B26" s="50">
        <v>3.0000000000000001E-3</v>
      </c>
      <c r="C26" s="49">
        <v>1</v>
      </c>
      <c r="D26" s="60">
        <f t="shared" si="0"/>
        <v>3.0000000000000001E-3</v>
      </c>
      <c r="E26" s="13"/>
    </row>
    <row r="27" spans="1:5">
      <c r="A27" s="30" t="s">
        <v>19</v>
      </c>
      <c r="B27" s="50">
        <v>7.8039999999999998E-2</v>
      </c>
      <c r="C27" s="49">
        <v>0.15</v>
      </c>
      <c r="D27" s="60">
        <f t="shared" si="0"/>
        <v>1.1705999999999999E-2</v>
      </c>
      <c r="E27" s="13"/>
    </row>
    <row r="28" spans="1:5">
      <c r="A28" s="30" t="s">
        <v>18</v>
      </c>
      <c r="B28" s="50">
        <v>0.22961000000000001</v>
      </c>
      <c r="C28" s="49">
        <v>0.15</v>
      </c>
      <c r="D28" s="60">
        <f t="shared" si="0"/>
        <v>3.44415E-2</v>
      </c>
      <c r="E28" s="13"/>
    </row>
    <row r="29" spans="1:5">
      <c r="A29" s="30" t="s">
        <v>17</v>
      </c>
      <c r="B29" s="50">
        <v>7.4099999999999999E-2</v>
      </c>
      <c r="C29" s="49">
        <v>0.15</v>
      </c>
      <c r="D29" s="60">
        <f t="shared" si="0"/>
        <v>1.1115E-2</v>
      </c>
      <c r="E29" s="13"/>
    </row>
    <row r="30" spans="1:5">
      <c r="A30" s="30" t="s">
        <v>16</v>
      </c>
      <c r="B30" s="50">
        <v>0.14399999999999999</v>
      </c>
      <c r="C30" s="49">
        <v>0.15</v>
      </c>
      <c r="D30" s="60">
        <f t="shared" si="0"/>
        <v>2.1599999999999998E-2</v>
      </c>
      <c r="E30" s="13"/>
    </row>
    <row r="31" spans="1:5">
      <c r="A31" s="30" t="s">
        <v>15</v>
      </c>
      <c r="B31" s="50">
        <f>(SUM(B24:B30))/100*25</f>
        <v>0.13443749999999999</v>
      </c>
      <c r="C31" s="51" t="s">
        <v>11</v>
      </c>
      <c r="D31" s="60">
        <f>SUM(D24:D30)/100*25</f>
        <v>2.2715625E-2</v>
      </c>
      <c r="E31" s="13"/>
    </row>
    <row r="32" spans="1:5">
      <c r="A32" s="6" t="s">
        <v>14</v>
      </c>
      <c r="B32" s="53">
        <f>SUM(B24:B31)</f>
        <v>0.67218749999999994</v>
      </c>
      <c r="C32" s="56" t="s">
        <v>11</v>
      </c>
      <c r="D32" s="68">
        <f>SUM(D24:D31)</f>
        <v>0.113578125</v>
      </c>
      <c r="E32" s="13"/>
    </row>
    <row r="33" spans="1:6">
      <c r="A33" s="62" t="s">
        <v>260</v>
      </c>
      <c r="B33" s="84">
        <f>B32+B22</f>
        <v>0.80034749999999999</v>
      </c>
      <c r="C33" s="85" t="s">
        <v>11</v>
      </c>
      <c r="D33" s="63">
        <f>D32+D22</f>
        <v>0.18721057499999999</v>
      </c>
      <c r="E33" s="13"/>
    </row>
    <row r="34" spans="1:6" ht="31.5" customHeight="1">
      <c r="A34" s="244" t="s">
        <v>48</v>
      </c>
      <c r="B34" s="244"/>
      <c r="C34" s="244"/>
      <c r="D34" s="244"/>
      <c r="E34" s="46"/>
    </row>
    <row r="35" spans="1:6">
      <c r="A35" s="45"/>
      <c r="B35" s="13"/>
      <c r="C35" s="13"/>
      <c r="D35" s="13"/>
      <c r="E35" s="13"/>
    </row>
    <row r="36" spans="1:6">
      <c r="A36" s="45"/>
      <c r="B36" s="13"/>
      <c r="C36" s="13"/>
      <c r="D36" s="13"/>
      <c r="E36" s="13"/>
    </row>
    <row r="37" spans="1:6" ht="28.5" customHeight="1">
      <c r="A37" s="243" t="s">
        <v>38</v>
      </c>
      <c r="B37" s="243"/>
      <c r="C37" s="243"/>
      <c r="D37" s="243"/>
      <c r="E37" s="243"/>
      <c r="F37" s="243"/>
    </row>
    <row r="38" spans="1:6" ht="40.5" customHeight="1">
      <c r="A38" s="217" t="s">
        <v>36</v>
      </c>
      <c r="B38" s="218"/>
      <c r="C38" s="218"/>
      <c r="D38" s="219"/>
      <c r="E38" s="46"/>
    </row>
    <row r="39" spans="1:6" ht="55.5" customHeight="1">
      <c r="A39" s="64"/>
      <c r="B39" s="80" t="s">
        <v>42</v>
      </c>
      <c r="C39" s="80" t="s">
        <v>51</v>
      </c>
      <c r="D39" s="65" t="s">
        <v>50</v>
      </c>
      <c r="E39" s="13"/>
    </row>
    <row r="40" spans="1:6" ht="30.75" customHeight="1">
      <c r="A40" s="74" t="s">
        <v>34</v>
      </c>
      <c r="B40" s="88">
        <v>5.3913999999999997E-2</v>
      </c>
      <c r="C40" s="83">
        <v>0.15</v>
      </c>
      <c r="D40" s="67">
        <f>B40*C40</f>
        <v>8.0870999999999998E-3</v>
      </c>
      <c r="E40" s="13"/>
    </row>
    <row r="41" spans="1:6">
      <c r="A41" s="30" t="s">
        <v>33</v>
      </c>
      <c r="B41" s="86">
        <v>6.0135000000000001E-2</v>
      </c>
      <c r="C41" s="49">
        <v>1</v>
      </c>
      <c r="D41" s="60">
        <f>B41*C41</f>
        <v>6.0135000000000001E-2</v>
      </c>
      <c r="E41" s="13"/>
    </row>
    <row r="42" spans="1:6">
      <c r="A42" s="62" t="s">
        <v>32</v>
      </c>
      <c r="B42" s="84">
        <f>B41+B40</f>
        <v>0.114049</v>
      </c>
      <c r="C42" s="89"/>
      <c r="D42" s="63">
        <f>D41+D40</f>
        <v>6.8222100000000008E-2</v>
      </c>
      <c r="E42" s="13"/>
    </row>
    <row r="43" spans="1:6">
      <c r="A43" s="13" t="s">
        <v>31</v>
      </c>
      <c r="B43" s="13"/>
      <c r="C43" s="13"/>
      <c r="D43" s="13"/>
      <c r="E43" s="13"/>
    </row>
    <row r="44" spans="1:6" ht="27.75" customHeight="1">
      <c r="A44" s="245" t="s">
        <v>48</v>
      </c>
      <c r="B44" s="245"/>
      <c r="C44" s="245"/>
      <c r="D44" s="245"/>
      <c r="E44" s="46"/>
    </row>
    <row r="45" spans="1:6">
      <c r="A45" s="13"/>
      <c r="B45" s="13"/>
      <c r="C45" s="13"/>
      <c r="D45" s="13"/>
      <c r="E45" s="13"/>
    </row>
  </sheetData>
  <sheetProtection password="8725" sheet="1" objects="1" scenarios="1"/>
  <customSheetViews>
    <customSheetView guid="{501AA260-4F68-4F83-9D73-4CAC5C0FE660}" topLeftCell="A4">
      <selection activeCell="A20" sqref="A20"/>
      <pageMargins left="0.7" right="0.7" top="0.75" bottom="0.75" header="0.3" footer="0.3"/>
    </customSheetView>
    <customSheetView guid="{49FA9399-7025-4F3A-8583-7789089E8EA0}" topLeftCell="A4">
      <selection activeCell="A4" sqref="A1:XFD1048576"/>
      <pageMargins left="0.7" right="0.7" top="0.75" bottom="0.75" header="0.3" footer="0.3"/>
    </customSheetView>
  </customSheetViews>
  <mergeCells count="9">
    <mergeCell ref="A37:F37"/>
    <mergeCell ref="A4:F4"/>
    <mergeCell ref="A38:D38"/>
    <mergeCell ref="A44:D44"/>
    <mergeCell ref="A6:B6"/>
    <mergeCell ref="A15:D15"/>
    <mergeCell ref="A13:D13"/>
    <mergeCell ref="A23:D23"/>
    <mergeCell ref="A34:D3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50"/>
  <sheetViews>
    <sheetView zoomScale="80" zoomScaleNormal="80" workbookViewId="0">
      <selection activeCell="D20" sqref="D20"/>
    </sheetView>
  </sheetViews>
  <sheetFormatPr defaultRowHeight="12.75"/>
  <cols>
    <col min="1" max="1" width="36.42578125" style="11" customWidth="1"/>
    <col min="2" max="2" width="17.28515625" style="11" customWidth="1"/>
    <col min="3" max="3" width="24.5703125" style="11" customWidth="1"/>
    <col min="4" max="4" width="17.28515625" style="11" customWidth="1"/>
    <col min="5" max="6" width="13.28515625" style="11" customWidth="1"/>
    <col min="7" max="16384" width="9.140625" style="11"/>
  </cols>
  <sheetData>
    <row r="1" spans="1:6" s="18" customFormat="1" ht="38.25" customHeight="1">
      <c r="A1" s="17" t="s">
        <v>265</v>
      </c>
    </row>
    <row r="2" spans="1:6" ht="19.5" customHeight="1">
      <c r="A2" s="1"/>
    </row>
    <row r="3" spans="1:6" ht="44.25" customHeight="1">
      <c r="A3" s="233" t="s">
        <v>232</v>
      </c>
      <c r="B3" s="233"/>
      <c r="C3" s="233"/>
      <c r="D3" s="233"/>
      <c r="E3" s="233"/>
      <c r="F3" s="233"/>
    </row>
    <row r="4" spans="1:6" ht="13.5" customHeight="1">
      <c r="A4" s="97"/>
      <c r="B4" s="97"/>
      <c r="C4" s="97"/>
      <c r="D4" s="97"/>
      <c r="E4" s="97"/>
      <c r="F4" s="97"/>
    </row>
    <row r="5" spans="1:6">
      <c r="A5" s="13"/>
      <c r="B5" s="13"/>
      <c r="C5" s="13"/>
      <c r="D5" s="13"/>
      <c r="E5" s="13"/>
      <c r="F5" s="13"/>
    </row>
    <row r="6" spans="1:6" ht="38.25" customHeight="1">
      <c r="A6" s="235" t="s">
        <v>231</v>
      </c>
      <c r="B6" s="251"/>
      <c r="C6" s="13"/>
      <c r="D6" s="13"/>
      <c r="E6" s="13"/>
      <c r="F6" s="13"/>
    </row>
    <row r="7" spans="1:6" ht="25.5">
      <c r="A7" s="64"/>
      <c r="B7" s="65" t="s">
        <v>12</v>
      </c>
      <c r="C7" s="13"/>
      <c r="D7" s="13"/>
      <c r="E7" s="13"/>
      <c r="F7" s="13"/>
    </row>
    <row r="8" spans="1:6">
      <c r="A8" s="38" t="s">
        <v>0</v>
      </c>
      <c r="B8" s="67">
        <v>3.0000000000000001E-3</v>
      </c>
      <c r="C8" s="13"/>
      <c r="D8" s="13"/>
      <c r="E8" s="13"/>
      <c r="F8" s="13"/>
    </row>
    <row r="9" spans="1:6">
      <c r="A9" s="30" t="s">
        <v>1</v>
      </c>
      <c r="B9" s="60">
        <v>2E-3</v>
      </c>
      <c r="C9" s="13"/>
      <c r="D9" s="13"/>
      <c r="E9" s="13"/>
      <c r="F9" s="13"/>
    </row>
    <row r="10" spans="1:6">
      <c r="A10" s="62" t="s">
        <v>237</v>
      </c>
      <c r="B10" s="63">
        <f>B9+B8</f>
        <v>5.0000000000000001E-3</v>
      </c>
      <c r="C10" s="13"/>
      <c r="D10" s="13"/>
      <c r="E10" s="13"/>
      <c r="F10" s="13"/>
    </row>
    <row r="11" spans="1:6">
      <c r="A11" s="43"/>
      <c r="B11" s="44"/>
      <c r="C11" s="13"/>
      <c r="D11" s="44"/>
      <c r="E11" s="13"/>
      <c r="F11" s="13"/>
    </row>
    <row r="12" spans="1:6">
      <c r="A12" s="13"/>
      <c r="B12" s="10"/>
      <c r="C12" s="13"/>
      <c r="D12" s="13"/>
      <c r="E12" s="13"/>
      <c r="F12" s="13"/>
    </row>
    <row r="13" spans="1:6" ht="38.25" customHeight="1">
      <c r="A13" s="235" t="s">
        <v>233</v>
      </c>
      <c r="B13" s="252"/>
      <c r="C13" s="252"/>
      <c r="D13" s="253"/>
      <c r="E13" s="13"/>
      <c r="F13" s="13"/>
    </row>
    <row r="14" spans="1:6" ht="57.75" customHeight="1">
      <c r="A14" s="93"/>
      <c r="B14" s="80" t="s">
        <v>42</v>
      </c>
      <c r="C14" s="80" t="s">
        <v>234</v>
      </c>
      <c r="D14" s="65" t="s">
        <v>235</v>
      </c>
      <c r="E14" s="13"/>
      <c r="F14" s="13"/>
    </row>
    <row r="15" spans="1:6">
      <c r="A15" s="220" t="s">
        <v>29</v>
      </c>
      <c r="B15" s="221"/>
      <c r="C15" s="221"/>
      <c r="D15" s="222"/>
      <c r="E15" s="13"/>
      <c r="F15" s="13"/>
    </row>
    <row r="16" spans="1:6">
      <c r="A16" s="38" t="s">
        <v>28</v>
      </c>
      <c r="B16" s="82">
        <v>4.0000000000000001E-3</v>
      </c>
      <c r="C16" s="83">
        <v>1</v>
      </c>
      <c r="D16" s="67">
        <f>B16*C16</f>
        <v>4.0000000000000001E-3</v>
      </c>
      <c r="E16" s="13"/>
      <c r="F16" s="13"/>
    </row>
    <row r="17" spans="1:6">
      <c r="A17" s="30" t="s">
        <v>27</v>
      </c>
      <c r="B17" s="50">
        <v>1.7999999999999999E-2</v>
      </c>
      <c r="C17" s="49">
        <v>1</v>
      </c>
      <c r="D17" s="60">
        <f>B17*C17</f>
        <v>1.7999999999999999E-2</v>
      </c>
      <c r="E17" s="13"/>
      <c r="F17" s="13"/>
    </row>
    <row r="18" spans="1:6">
      <c r="A18" s="30" t="s">
        <v>210</v>
      </c>
      <c r="B18" s="50">
        <v>2.3E-2</v>
      </c>
      <c r="C18" s="49">
        <v>1</v>
      </c>
      <c r="D18" s="60">
        <f>B18*C18</f>
        <v>2.3E-2</v>
      </c>
      <c r="E18" s="13"/>
      <c r="F18" s="13"/>
    </row>
    <row r="19" spans="1:6">
      <c r="A19" s="30" t="s">
        <v>26</v>
      </c>
      <c r="B19" s="50">
        <v>5.1799999999999999E-2</v>
      </c>
      <c r="C19" s="51" t="s">
        <v>11</v>
      </c>
      <c r="D19" s="60">
        <f>SUM(D24:D30)/100*7</f>
        <v>1.944075E-3</v>
      </c>
      <c r="E19" s="13"/>
      <c r="F19" s="13"/>
    </row>
    <row r="20" spans="1:6">
      <c r="A20" s="30" t="s">
        <v>25</v>
      </c>
      <c r="B20" s="50">
        <v>0.01</v>
      </c>
      <c r="C20" s="49">
        <v>1</v>
      </c>
      <c r="D20" s="60">
        <f>B20*C20</f>
        <v>0.01</v>
      </c>
      <c r="E20" s="13"/>
      <c r="F20" s="13"/>
    </row>
    <row r="21" spans="1:6">
      <c r="A21" s="30" t="s">
        <v>24</v>
      </c>
      <c r="B21" s="50">
        <v>2.1360000000000001E-2</v>
      </c>
      <c r="C21" s="51" t="s">
        <v>11</v>
      </c>
      <c r="D21" s="60">
        <f>SUM(D16:D20)/100*20</f>
        <v>1.1388815000000002E-2</v>
      </c>
      <c r="E21" s="13"/>
      <c r="F21" s="13"/>
    </row>
    <row r="22" spans="1:6">
      <c r="A22" s="6" t="s">
        <v>14</v>
      </c>
      <c r="B22" s="53">
        <f>SUM(B16:B21)</f>
        <v>0.12816</v>
      </c>
      <c r="C22" s="52" t="s">
        <v>11</v>
      </c>
      <c r="D22" s="68">
        <f>SUM(D16:D21)</f>
        <v>6.8332890000000007E-2</v>
      </c>
      <c r="E22" s="13"/>
      <c r="F22" s="13"/>
    </row>
    <row r="23" spans="1:6">
      <c r="A23" s="220" t="s">
        <v>23</v>
      </c>
      <c r="B23" s="221"/>
      <c r="C23" s="221"/>
      <c r="D23" s="222"/>
      <c r="E23" s="13"/>
      <c r="F23" s="13"/>
    </row>
    <row r="24" spans="1:6">
      <c r="A24" s="30" t="s">
        <v>22</v>
      </c>
      <c r="B24" s="50">
        <v>1E-3</v>
      </c>
      <c r="C24" s="49">
        <v>1</v>
      </c>
      <c r="D24" s="60">
        <f t="shared" ref="D24:D30" si="0">B24*C24</f>
        <v>1E-3</v>
      </c>
      <c r="E24" s="13"/>
      <c r="F24" s="13"/>
    </row>
    <row r="25" spans="1:6">
      <c r="A25" s="30" t="s">
        <v>21</v>
      </c>
      <c r="B25" s="50">
        <v>8.0000000000000002E-3</v>
      </c>
      <c r="C25" s="49">
        <v>1</v>
      </c>
      <c r="D25" s="60">
        <f t="shared" si="0"/>
        <v>8.0000000000000002E-3</v>
      </c>
      <c r="E25" s="13"/>
      <c r="F25" s="13"/>
    </row>
    <row r="26" spans="1:6">
      <c r="A26" s="30" t="s">
        <v>20</v>
      </c>
      <c r="B26" s="50">
        <v>3.0000000000000001E-3</v>
      </c>
      <c r="C26" s="49">
        <v>1</v>
      </c>
      <c r="D26" s="60">
        <f t="shared" si="0"/>
        <v>3.0000000000000001E-3</v>
      </c>
      <c r="E26" s="13"/>
      <c r="F26" s="13"/>
    </row>
    <row r="27" spans="1:6">
      <c r="A27" s="30" t="s">
        <v>19</v>
      </c>
      <c r="B27" s="50">
        <v>7.8039999999999998E-2</v>
      </c>
      <c r="C27" s="49">
        <v>0.03</v>
      </c>
      <c r="D27" s="60">
        <f t="shared" si="0"/>
        <v>2.3411999999999999E-3</v>
      </c>
      <c r="E27" s="13"/>
      <c r="F27" s="13"/>
    </row>
    <row r="28" spans="1:6">
      <c r="A28" s="30" t="s">
        <v>18</v>
      </c>
      <c r="B28" s="50">
        <v>0.22961000000000001</v>
      </c>
      <c r="C28" s="49">
        <v>0.03</v>
      </c>
      <c r="D28" s="60">
        <f t="shared" si="0"/>
        <v>6.8883E-3</v>
      </c>
      <c r="E28" s="13"/>
      <c r="F28" s="13"/>
    </row>
    <row r="29" spans="1:6">
      <c r="A29" s="30" t="s">
        <v>17</v>
      </c>
      <c r="B29" s="50">
        <v>7.4099999999999999E-2</v>
      </c>
      <c r="C29" s="49">
        <v>0.03</v>
      </c>
      <c r="D29" s="60">
        <f t="shared" si="0"/>
        <v>2.2229999999999997E-3</v>
      </c>
      <c r="E29" s="13"/>
      <c r="F29" s="13"/>
    </row>
    <row r="30" spans="1:6">
      <c r="A30" s="30" t="s">
        <v>16</v>
      </c>
      <c r="B30" s="50">
        <v>0.14399999999999999</v>
      </c>
      <c r="C30" s="49">
        <v>0.03</v>
      </c>
      <c r="D30" s="60">
        <f t="shared" si="0"/>
        <v>4.3199999999999992E-3</v>
      </c>
      <c r="E30" s="13"/>
      <c r="F30" s="13"/>
    </row>
    <row r="31" spans="1:6">
      <c r="A31" s="30" t="s">
        <v>15</v>
      </c>
      <c r="B31" s="50">
        <f>(SUM(B24:B30))/100*25</f>
        <v>0.13443749999999999</v>
      </c>
      <c r="C31" s="51" t="s">
        <v>11</v>
      </c>
      <c r="D31" s="60">
        <f>SUM(D24:D30)/100*25</f>
        <v>6.9431249999999996E-3</v>
      </c>
      <c r="E31" s="13"/>
      <c r="F31" s="13"/>
    </row>
    <row r="32" spans="1:6">
      <c r="A32" s="6" t="s">
        <v>14</v>
      </c>
      <c r="B32" s="53">
        <f>SUM(B24:B31)</f>
        <v>0.67218749999999994</v>
      </c>
      <c r="C32" s="56" t="s">
        <v>11</v>
      </c>
      <c r="D32" s="68">
        <f>SUM(D24:D31)</f>
        <v>3.4715625E-2</v>
      </c>
      <c r="E32" s="13"/>
      <c r="F32" s="13"/>
    </row>
    <row r="33" spans="1:6">
      <c r="A33" s="62" t="s">
        <v>260</v>
      </c>
      <c r="B33" s="84">
        <f>B32+B22</f>
        <v>0.80034749999999999</v>
      </c>
      <c r="C33" s="85" t="s">
        <v>11</v>
      </c>
      <c r="D33" s="63">
        <f>D32+D22</f>
        <v>0.10304851500000001</v>
      </c>
      <c r="E33" s="13"/>
      <c r="F33" s="13"/>
    </row>
    <row r="34" spans="1:6" ht="29.25" customHeight="1">
      <c r="A34" s="249" t="s">
        <v>236</v>
      </c>
      <c r="B34" s="250"/>
      <c r="C34" s="250"/>
      <c r="D34" s="250"/>
      <c r="E34" s="13"/>
      <c r="F34" s="13"/>
    </row>
    <row r="35" spans="1:6">
      <c r="A35" s="45"/>
      <c r="B35" s="13"/>
      <c r="C35" s="13"/>
      <c r="D35" s="13"/>
      <c r="E35" s="13"/>
      <c r="F35" s="13"/>
    </row>
    <row r="36" spans="1:6">
      <c r="A36" s="13"/>
      <c r="B36" s="13"/>
      <c r="C36" s="13"/>
      <c r="D36" s="13"/>
      <c r="E36" s="13"/>
      <c r="F36" s="13"/>
    </row>
    <row r="37" spans="1:6" ht="32.25" customHeight="1">
      <c r="A37" s="243" t="s">
        <v>38</v>
      </c>
      <c r="B37" s="243"/>
      <c r="C37" s="243"/>
      <c r="D37" s="243"/>
      <c r="E37" s="243"/>
      <c r="F37" s="243"/>
    </row>
    <row r="38" spans="1:6" ht="39.75" customHeight="1">
      <c r="A38" s="235" t="s">
        <v>36</v>
      </c>
      <c r="B38" s="252"/>
      <c r="C38" s="252"/>
      <c r="D38" s="253"/>
      <c r="E38" s="13"/>
      <c r="F38" s="13"/>
    </row>
    <row r="39" spans="1:6" ht="51">
      <c r="A39" s="64"/>
      <c r="B39" s="80" t="s">
        <v>42</v>
      </c>
      <c r="C39" s="80" t="s">
        <v>234</v>
      </c>
      <c r="D39" s="65" t="s">
        <v>50</v>
      </c>
      <c r="E39" s="13"/>
      <c r="F39" s="13"/>
    </row>
    <row r="40" spans="1:6" ht="30.75" customHeight="1">
      <c r="A40" s="74" t="s">
        <v>34</v>
      </c>
      <c r="B40" s="88">
        <v>5.3913999999999997E-2</v>
      </c>
      <c r="C40" s="83">
        <v>0.15</v>
      </c>
      <c r="D40" s="67">
        <f>B40*C40</f>
        <v>8.0870999999999998E-3</v>
      </c>
      <c r="E40" s="13"/>
      <c r="F40" s="13"/>
    </row>
    <row r="41" spans="1:6">
      <c r="A41" s="30" t="s">
        <v>33</v>
      </c>
      <c r="B41" s="86">
        <v>6.0135000000000001E-2</v>
      </c>
      <c r="C41" s="49">
        <v>1</v>
      </c>
      <c r="D41" s="60">
        <f>B41*C41</f>
        <v>6.0135000000000001E-2</v>
      </c>
      <c r="E41" s="13"/>
      <c r="F41" s="13"/>
    </row>
    <row r="42" spans="1:6">
      <c r="A42" s="62" t="s">
        <v>32</v>
      </c>
      <c r="B42" s="84">
        <f>B41+B40</f>
        <v>0.114049</v>
      </c>
      <c r="C42" s="89"/>
      <c r="D42" s="63">
        <f>D41+D40</f>
        <v>6.8222100000000008E-2</v>
      </c>
      <c r="E42" s="13"/>
      <c r="F42" s="13"/>
    </row>
    <row r="43" spans="1:6">
      <c r="A43" s="13" t="s">
        <v>31</v>
      </c>
      <c r="B43" s="13"/>
      <c r="C43" s="13"/>
      <c r="D43" s="13"/>
      <c r="E43" s="13"/>
      <c r="F43" s="13"/>
    </row>
    <row r="44" spans="1:6" ht="27.75" customHeight="1">
      <c r="A44" s="249" t="s">
        <v>236</v>
      </c>
      <c r="B44" s="250"/>
      <c r="C44" s="250"/>
      <c r="D44" s="250"/>
      <c r="E44" s="13"/>
      <c r="F44" s="13"/>
    </row>
    <row r="45" spans="1:6">
      <c r="A45" s="13"/>
      <c r="B45" s="13"/>
      <c r="C45" s="13"/>
      <c r="D45" s="13"/>
      <c r="E45" s="13"/>
      <c r="F45" s="13"/>
    </row>
    <row r="46" spans="1:6">
      <c r="A46" s="13"/>
      <c r="B46" s="13"/>
      <c r="C46" s="13"/>
      <c r="D46" s="13"/>
      <c r="E46" s="13"/>
      <c r="F46" s="13"/>
    </row>
    <row r="47" spans="1:6">
      <c r="A47" s="13"/>
      <c r="B47" s="13"/>
      <c r="C47" s="13"/>
      <c r="D47" s="13"/>
      <c r="E47" s="13"/>
      <c r="F47" s="13"/>
    </row>
    <row r="48" spans="1:6">
      <c r="A48" s="13"/>
      <c r="B48" s="13"/>
      <c r="C48" s="13"/>
      <c r="D48" s="13"/>
      <c r="E48" s="13"/>
      <c r="F48" s="13"/>
    </row>
    <row r="49" spans="1:6">
      <c r="A49" s="13"/>
      <c r="B49" s="13"/>
      <c r="C49" s="13"/>
      <c r="D49" s="13"/>
      <c r="E49" s="13"/>
      <c r="F49" s="13"/>
    </row>
    <row r="50" spans="1:6">
      <c r="A50" s="13"/>
      <c r="B50" s="13"/>
      <c r="C50" s="13"/>
      <c r="D50" s="13"/>
      <c r="E50" s="13"/>
      <c r="F50" s="13"/>
    </row>
  </sheetData>
  <sheetProtection password="8725" sheet="1" objects="1" scenarios="1"/>
  <customSheetViews>
    <customSheetView guid="{49FA9399-7025-4F3A-8583-7789089E8EA0}">
      <selection activeCell="B3" sqref="A3:B3"/>
      <pageMargins left="0.7" right="0.7" top="0.75" bottom="0.75" header="0.3" footer="0.3"/>
      <pageSetup paperSize="9" orientation="portrait" r:id="rId1"/>
    </customSheetView>
  </customSheetViews>
  <mergeCells count="9">
    <mergeCell ref="A3:F3"/>
    <mergeCell ref="A37:F37"/>
    <mergeCell ref="A44:D44"/>
    <mergeCell ref="A6:B6"/>
    <mergeCell ref="A13:D13"/>
    <mergeCell ref="A34:D34"/>
    <mergeCell ref="A38:D38"/>
    <mergeCell ref="A15:D15"/>
    <mergeCell ref="A23:D23"/>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dimension ref="A1:G46"/>
  <sheetViews>
    <sheetView zoomScale="80" zoomScaleNormal="80" workbookViewId="0">
      <selection activeCell="D27" sqref="D27"/>
    </sheetView>
  </sheetViews>
  <sheetFormatPr defaultRowHeight="12.75"/>
  <cols>
    <col min="1" max="1" width="36.42578125" style="11" customWidth="1"/>
    <col min="2" max="2" width="17.28515625" style="11" customWidth="1"/>
    <col min="3" max="3" width="26.42578125" style="11" customWidth="1"/>
    <col min="4" max="4" width="24.28515625" style="11" customWidth="1"/>
    <col min="5" max="6" width="13.28515625" style="11" customWidth="1"/>
    <col min="7" max="16384" width="9.140625" style="11"/>
  </cols>
  <sheetData>
    <row r="1" spans="1:7" s="42" customFormat="1" ht="38.25" customHeight="1">
      <c r="A1" s="17" t="s">
        <v>266</v>
      </c>
    </row>
    <row r="2" spans="1:7">
      <c r="A2" s="1"/>
    </row>
    <row r="3" spans="1:7" ht="66.75" customHeight="1">
      <c r="A3" s="233" t="s">
        <v>13</v>
      </c>
      <c r="B3" s="233"/>
      <c r="C3" s="233"/>
      <c r="D3" s="233"/>
      <c r="E3" s="233"/>
      <c r="F3" s="233"/>
    </row>
    <row r="6" spans="1:7" ht="43.5" customHeight="1">
      <c r="A6" s="235" t="s">
        <v>37</v>
      </c>
      <c r="B6" s="236"/>
      <c r="C6" s="13"/>
      <c r="D6" s="13"/>
      <c r="E6" s="13"/>
      <c r="F6" s="13"/>
      <c r="G6" s="13"/>
    </row>
    <row r="7" spans="1:7" ht="25.5">
      <c r="A7" s="64"/>
      <c r="B7" s="65" t="s">
        <v>12</v>
      </c>
      <c r="C7" s="13"/>
      <c r="D7" s="13"/>
      <c r="E7" s="13"/>
      <c r="F7" s="13"/>
      <c r="G7" s="13"/>
    </row>
    <row r="8" spans="1:7">
      <c r="A8" s="38" t="s">
        <v>0</v>
      </c>
      <c r="B8" s="67">
        <v>5.5500000000000001E-2</v>
      </c>
      <c r="C8" s="13"/>
      <c r="D8" s="13"/>
      <c r="E8" s="13"/>
      <c r="F8" s="13"/>
      <c r="G8" s="13"/>
    </row>
    <row r="9" spans="1:7">
      <c r="A9" s="30" t="s">
        <v>1</v>
      </c>
      <c r="B9" s="60">
        <v>3.4687999999999997E-2</v>
      </c>
      <c r="C9" s="13"/>
      <c r="D9" s="13"/>
      <c r="E9" s="13"/>
      <c r="F9" s="13"/>
      <c r="G9" s="13"/>
    </row>
    <row r="10" spans="1:7">
      <c r="A10" s="62" t="s">
        <v>258</v>
      </c>
      <c r="B10" s="63">
        <f>B9+B8</f>
        <v>9.018799999999999E-2</v>
      </c>
      <c r="C10" s="13"/>
      <c r="D10" s="13"/>
      <c r="E10" s="13"/>
      <c r="F10" s="13"/>
      <c r="G10" s="13"/>
    </row>
    <row r="11" spans="1:7">
      <c r="A11" s="43"/>
      <c r="B11" s="44"/>
      <c r="C11" s="13"/>
      <c r="D11" s="44"/>
      <c r="E11" s="13"/>
      <c r="F11" s="13"/>
      <c r="G11" s="13"/>
    </row>
    <row r="12" spans="1:7">
      <c r="A12" s="13"/>
      <c r="B12" s="10"/>
      <c r="C12" s="13"/>
      <c r="D12" s="13"/>
      <c r="E12" s="13"/>
      <c r="F12" s="13"/>
      <c r="G12" s="13"/>
    </row>
    <row r="13" spans="1:7" ht="43.5" customHeight="1">
      <c r="A13" s="217" t="s">
        <v>35</v>
      </c>
      <c r="B13" s="218"/>
      <c r="C13" s="218"/>
      <c r="D13" s="219"/>
      <c r="E13" s="46"/>
      <c r="F13" s="13"/>
      <c r="G13" s="13"/>
    </row>
    <row r="14" spans="1:7" ht="38.25">
      <c r="A14" s="64"/>
      <c r="B14" s="80" t="s">
        <v>42</v>
      </c>
      <c r="C14" s="80" t="s">
        <v>30</v>
      </c>
      <c r="D14" s="65" t="s">
        <v>267</v>
      </c>
      <c r="E14" s="13"/>
      <c r="F14" s="13"/>
      <c r="G14" s="13"/>
    </row>
    <row r="15" spans="1:7">
      <c r="A15" s="220" t="s">
        <v>29</v>
      </c>
      <c r="B15" s="221"/>
      <c r="C15" s="221"/>
      <c r="D15" s="222"/>
      <c r="E15" s="13"/>
      <c r="F15" s="13"/>
      <c r="G15" s="13"/>
    </row>
    <row r="16" spans="1:7">
      <c r="A16" s="38" t="s">
        <v>28</v>
      </c>
      <c r="B16" s="82">
        <v>4.0000000000000001E-3</v>
      </c>
      <c r="C16" s="83">
        <v>1</v>
      </c>
      <c r="D16" s="67">
        <f>B16*C16</f>
        <v>4.0000000000000001E-3</v>
      </c>
      <c r="E16" s="13"/>
      <c r="F16" s="13"/>
      <c r="G16" s="13"/>
    </row>
    <row r="17" spans="1:7">
      <c r="A17" s="30" t="s">
        <v>27</v>
      </c>
      <c r="B17" s="50">
        <v>1.7999999999999999E-2</v>
      </c>
      <c r="C17" s="49">
        <v>1</v>
      </c>
      <c r="D17" s="60">
        <f>B17*C17</f>
        <v>1.7999999999999999E-2</v>
      </c>
      <c r="E17" s="13"/>
      <c r="F17" s="13"/>
      <c r="G17" s="13"/>
    </row>
    <row r="18" spans="1:7">
      <c r="A18" s="30" t="s">
        <v>210</v>
      </c>
      <c r="B18" s="50">
        <v>2.3E-2</v>
      </c>
      <c r="C18" s="49">
        <v>1</v>
      </c>
      <c r="D18" s="60">
        <f>B18*C18</f>
        <v>2.3E-2</v>
      </c>
      <c r="E18" s="13"/>
      <c r="F18" s="13"/>
      <c r="G18" s="13"/>
    </row>
    <row r="19" spans="1:7">
      <c r="A19" s="30" t="s">
        <v>26</v>
      </c>
      <c r="B19" s="50">
        <v>5.1799999999999999E-2</v>
      </c>
      <c r="C19" s="51" t="s">
        <v>11</v>
      </c>
      <c r="D19" s="60">
        <f>SUM(D24:D30)/100*7</f>
        <v>1.9241249999999998E-2</v>
      </c>
      <c r="E19" s="13"/>
      <c r="F19" s="13"/>
      <c r="G19" s="13"/>
    </row>
    <row r="20" spans="1:7">
      <c r="A20" s="30" t="s">
        <v>25</v>
      </c>
      <c r="B20" s="50">
        <v>0.01</v>
      </c>
      <c r="C20" s="49">
        <v>1</v>
      </c>
      <c r="D20" s="60">
        <f>B20*C20</f>
        <v>0.01</v>
      </c>
      <c r="E20" s="13"/>
      <c r="F20" s="13"/>
      <c r="G20" s="13"/>
    </row>
    <row r="21" spans="1:7">
      <c r="A21" s="30" t="s">
        <v>24</v>
      </c>
      <c r="B21" s="50">
        <v>2.1360000000000001E-2</v>
      </c>
      <c r="C21" s="51" t="s">
        <v>11</v>
      </c>
      <c r="D21" s="60">
        <f>SUM(D16:D20)/100*20</f>
        <v>1.484825E-2</v>
      </c>
      <c r="E21" s="13"/>
      <c r="F21" s="13"/>
      <c r="G21" s="13"/>
    </row>
    <row r="22" spans="1:7">
      <c r="A22" s="6" t="s">
        <v>14</v>
      </c>
      <c r="B22" s="53">
        <f>SUM(B16:B21)</f>
        <v>0.12816</v>
      </c>
      <c r="C22" s="52" t="s">
        <v>11</v>
      </c>
      <c r="D22" s="68">
        <f>SUM(D16:D21)</f>
        <v>8.9089499999999988E-2</v>
      </c>
      <c r="E22" s="13"/>
      <c r="F22" s="13"/>
      <c r="G22" s="13"/>
    </row>
    <row r="23" spans="1:7" ht="13.5" customHeight="1">
      <c r="A23" s="220" t="s">
        <v>23</v>
      </c>
      <c r="B23" s="221"/>
      <c r="C23" s="221"/>
      <c r="D23" s="222"/>
      <c r="E23" s="13"/>
      <c r="F23" s="13"/>
      <c r="G23" s="13"/>
    </row>
    <row r="24" spans="1:7">
      <c r="A24" s="30" t="s">
        <v>22</v>
      </c>
      <c r="B24" s="50">
        <v>1E-3</v>
      </c>
      <c r="C24" s="49">
        <v>1</v>
      </c>
      <c r="D24" s="60">
        <f t="shared" ref="D24:D30" si="0">B24*C24</f>
        <v>1E-3</v>
      </c>
      <c r="E24" s="13"/>
      <c r="F24" s="13"/>
      <c r="G24" s="13"/>
    </row>
    <row r="25" spans="1:7">
      <c r="A25" s="30" t="s">
        <v>21</v>
      </c>
      <c r="B25" s="50">
        <v>8.0000000000000002E-3</v>
      </c>
      <c r="C25" s="49">
        <v>1</v>
      </c>
      <c r="D25" s="60">
        <f t="shared" si="0"/>
        <v>8.0000000000000002E-3</v>
      </c>
      <c r="E25" s="13"/>
      <c r="F25" s="13"/>
      <c r="G25" s="13"/>
    </row>
    <row r="26" spans="1:7">
      <c r="A26" s="30" t="s">
        <v>20</v>
      </c>
      <c r="B26" s="50">
        <v>3.0000000000000001E-3</v>
      </c>
      <c r="C26" s="49">
        <v>1</v>
      </c>
      <c r="D26" s="60">
        <f t="shared" si="0"/>
        <v>3.0000000000000001E-3</v>
      </c>
      <c r="E26" s="13"/>
      <c r="F26" s="13"/>
      <c r="G26" s="13"/>
    </row>
    <row r="27" spans="1:7">
      <c r="A27" s="30" t="s">
        <v>19</v>
      </c>
      <c r="B27" s="50">
        <v>7.8039999999999998E-2</v>
      </c>
      <c r="C27" s="49">
        <v>0.5</v>
      </c>
      <c r="D27" s="60">
        <f t="shared" si="0"/>
        <v>3.9019999999999999E-2</v>
      </c>
      <c r="E27" s="13"/>
      <c r="F27" s="13"/>
      <c r="G27" s="13"/>
    </row>
    <row r="28" spans="1:7">
      <c r="A28" s="30" t="s">
        <v>18</v>
      </c>
      <c r="B28" s="50">
        <v>0.22961000000000001</v>
      </c>
      <c r="C28" s="49">
        <v>0.5</v>
      </c>
      <c r="D28" s="60">
        <f t="shared" si="0"/>
        <v>0.114805</v>
      </c>
      <c r="E28" s="13"/>
      <c r="F28" s="13"/>
      <c r="G28" s="13"/>
    </row>
    <row r="29" spans="1:7">
      <c r="A29" s="30" t="s">
        <v>17</v>
      </c>
      <c r="B29" s="50">
        <v>7.4099999999999999E-2</v>
      </c>
      <c r="C29" s="49">
        <v>0.5</v>
      </c>
      <c r="D29" s="60">
        <f t="shared" si="0"/>
        <v>3.705E-2</v>
      </c>
      <c r="E29" s="13"/>
      <c r="F29" s="13"/>
      <c r="G29" s="13"/>
    </row>
    <row r="30" spans="1:7">
      <c r="A30" s="30" t="s">
        <v>16</v>
      </c>
      <c r="B30" s="50">
        <v>0.14399999999999999</v>
      </c>
      <c r="C30" s="49">
        <v>0.5</v>
      </c>
      <c r="D30" s="60">
        <f t="shared" si="0"/>
        <v>7.1999999999999995E-2</v>
      </c>
      <c r="E30" s="13"/>
      <c r="F30" s="13"/>
      <c r="G30" s="13"/>
    </row>
    <row r="31" spans="1:7">
      <c r="A31" s="30" t="s">
        <v>15</v>
      </c>
      <c r="B31" s="50">
        <f>(SUM(B24:B30))/100*25</f>
        <v>0.13443749999999999</v>
      </c>
      <c r="C31" s="51" t="s">
        <v>11</v>
      </c>
      <c r="D31" s="60">
        <f>SUM(D24:D30)/100*25</f>
        <v>6.8718749999999995E-2</v>
      </c>
      <c r="E31" s="13"/>
      <c r="F31" s="13"/>
      <c r="G31" s="13"/>
    </row>
    <row r="32" spans="1:7">
      <c r="A32" s="6" t="s">
        <v>14</v>
      </c>
      <c r="B32" s="53">
        <f>SUM(B24:B31)</f>
        <v>0.67218749999999994</v>
      </c>
      <c r="C32" s="56" t="s">
        <v>11</v>
      </c>
      <c r="D32" s="68">
        <f>SUM(D24:D31)</f>
        <v>0.34359374999999998</v>
      </c>
      <c r="E32" s="13"/>
      <c r="F32" s="13"/>
      <c r="G32" s="13"/>
    </row>
    <row r="33" spans="1:7">
      <c r="A33" s="62" t="s">
        <v>260</v>
      </c>
      <c r="B33" s="84">
        <f>B32+B22</f>
        <v>0.80034749999999999</v>
      </c>
      <c r="C33" s="85" t="s">
        <v>11</v>
      </c>
      <c r="D33" s="63">
        <f>D32+D22</f>
        <v>0.43268324999999996</v>
      </c>
      <c r="E33" s="13"/>
      <c r="F33" s="13"/>
      <c r="G33" s="13"/>
    </row>
    <row r="34" spans="1:7" ht="29.25" customHeight="1">
      <c r="A34" s="254" t="s">
        <v>52</v>
      </c>
      <c r="B34" s="254"/>
      <c r="C34" s="254"/>
      <c r="D34" s="254"/>
      <c r="E34" s="46"/>
      <c r="F34" s="13"/>
      <c r="G34" s="13"/>
    </row>
    <row r="35" spans="1:7">
      <c r="A35" s="45"/>
      <c r="B35" s="13"/>
      <c r="C35" s="13"/>
      <c r="D35" s="13"/>
      <c r="E35" s="13"/>
      <c r="F35" s="13"/>
      <c r="G35" s="13"/>
    </row>
    <row r="36" spans="1:7">
      <c r="A36" s="13"/>
      <c r="B36" s="13"/>
      <c r="C36" s="13"/>
      <c r="D36" s="13"/>
      <c r="E36" s="13"/>
      <c r="F36" s="13"/>
      <c r="G36" s="13"/>
    </row>
    <row r="37" spans="1:7" ht="30" customHeight="1">
      <c r="A37" s="243" t="s">
        <v>38</v>
      </c>
      <c r="B37" s="243"/>
      <c r="C37" s="243"/>
      <c r="D37" s="243"/>
      <c r="E37" s="243"/>
      <c r="F37" s="243"/>
      <c r="G37" s="13"/>
    </row>
    <row r="38" spans="1:7" ht="33" customHeight="1">
      <c r="A38" s="217" t="s">
        <v>36</v>
      </c>
      <c r="B38" s="218"/>
      <c r="C38" s="218"/>
      <c r="D38" s="219"/>
      <c r="E38" s="46"/>
      <c r="F38" s="13"/>
      <c r="G38" s="13"/>
    </row>
    <row r="39" spans="1:7" ht="38.25">
      <c r="A39" s="64"/>
      <c r="B39" s="80" t="s">
        <v>42</v>
      </c>
      <c r="C39" s="80" t="s">
        <v>30</v>
      </c>
      <c r="D39" s="65" t="s">
        <v>267</v>
      </c>
      <c r="E39" s="13"/>
      <c r="F39" s="13"/>
      <c r="G39" s="13"/>
    </row>
    <row r="40" spans="1:7" ht="30.75" customHeight="1">
      <c r="A40" s="74" t="s">
        <v>34</v>
      </c>
      <c r="B40" s="88">
        <v>5.3913999999999997E-2</v>
      </c>
      <c r="C40" s="83">
        <v>0.5</v>
      </c>
      <c r="D40" s="67">
        <f>B40*C40</f>
        <v>2.6956999999999998E-2</v>
      </c>
      <c r="E40" s="13"/>
      <c r="F40" s="13"/>
      <c r="G40" s="13"/>
    </row>
    <row r="41" spans="1:7">
      <c r="A41" s="30" t="s">
        <v>33</v>
      </c>
      <c r="B41" s="86">
        <v>6.0135000000000001E-2</v>
      </c>
      <c r="C41" s="49">
        <v>1</v>
      </c>
      <c r="D41" s="60">
        <f>B41*C41</f>
        <v>6.0135000000000001E-2</v>
      </c>
      <c r="E41" s="13"/>
      <c r="F41" s="13"/>
      <c r="G41" s="13"/>
    </row>
    <row r="42" spans="1:7">
      <c r="A42" s="62" t="s">
        <v>32</v>
      </c>
      <c r="B42" s="84">
        <f>B41+B40</f>
        <v>0.114049</v>
      </c>
      <c r="C42" s="89"/>
      <c r="D42" s="63">
        <f>D41+D40</f>
        <v>8.7092000000000003E-2</v>
      </c>
      <c r="E42" s="13"/>
      <c r="F42" s="13"/>
      <c r="G42" s="13"/>
    </row>
    <row r="43" spans="1:7">
      <c r="A43" s="13" t="s">
        <v>31</v>
      </c>
      <c r="B43" s="13"/>
      <c r="C43" s="13"/>
      <c r="D43" s="13"/>
      <c r="E43" s="13"/>
      <c r="F43" s="13"/>
      <c r="G43" s="13"/>
    </row>
    <row r="44" spans="1:7" ht="27.75" customHeight="1">
      <c r="A44" s="255" t="s">
        <v>52</v>
      </c>
      <c r="B44" s="255"/>
      <c r="C44" s="255"/>
      <c r="D44" s="255"/>
      <c r="E44" s="46"/>
      <c r="F44" s="13"/>
      <c r="G44" s="13"/>
    </row>
    <row r="45" spans="1:7">
      <c r="A45" s="13"/>
      <c r="B45" s="13"/>
      <c r="C45" s="13"/>
      <c r="D45" s="13"/>
      <c r="E45" s="13"/>
      <c r="F45" s="13"/>
      <c r="G45" s="13"/>
    </row>
    <row r="46" spans="1:7">
      <c r="A46" s="13"/>
      <c r="B46" s="13"/>
      <c r="C46" s="13"/>
      <c r="D46" s="13"/>
      <c r="E46" s="13"/>
      <c r="F46" s="13"/>
      <c r="G46" s="13"/>
    </row>
  </sheetData>
  <sheetProtection password="8725" sheet="1" objects="1" scenarios="1"/>
  <customSheetViews>
    <customSheetView guid="{501AA260-4F68-4F83-9D73-4CAC5C0FE660}" scale="90" topLeftCell="A9">
      <selection activeCell="A19" sqref="A19"/>
      <pageMargins left="0.7" right="0.7" top="0.75" bottom="0.75" header="0.3" footer="0.3"/>
    </customSheetView>
    <customSheetView guid="{49FA9399-7025-4F3A-8583-7789089E8EA0}" scale="90" topLeftCell="A9">
      <selection activeCell="A19" sqref="A19"/>
      <pageMargins left="0.7" right="0.7" top="0.75" bottom="0.75" header="0.3" footer="0.3"/>
    </customSheetView>
  </customSheetViews>
  <mergeCells count="9">
    <mergeCell ref="A38:D38"/>
    <mergeCell ref="A37:F37"/>
    <mergeCell ref="A44:D44"/>
    <mergeCell ref="A6:B6"/>
    <mergeCell ref="A3:F3"/>
    <mergeCell ref="A13:D13"/>
    <mergeCell ref="A15:D15"/>
    <mergeCell ref="A23:D23"/>
    <mergeCell ref="A34:D3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434"/>
  <sheetViews>
    <sheetView zoomScale="80" zoomScaleNormal="80" workbookViewId="0">
      <selection activeCell="A28" sqref="A28:D28"/>
    </sheetView>
  </sheetViews>
  <sheetFormatPr defaultRowHeight="12.75"/>
  <cols>
    <col min="1" max="1" width="40.7109375" style="11" customWidth="1"/>
    <col min="2" max="2" width="16.7109375" style="99" customWidth="1"/>
    <col min="3" max="3" width="18" style="11" customWidth="1"/>
    <col min="4" max="4" width="19.42578125" style="100" customWidth="1"/>
    <col min="5" max="5" width="16.140625" style="11" customWidth="1"/>
    <col min="6" max="8" width="13.28515625" style="11" customWidth="1"/>
    <col min="9" max="10" width="12.85546875" style="11" customWidth="1"/>
    <col min="11" max="11" width="17.5703125" style="11" customWidth="1"/>
    <col min="12" max="12" width="12.42578125" style="11" customWidth="1"/>
    <col min="13" max="17" width="9.140625" style="11"/>
    <col min="18" max="18" width="10" style="11" bestFit="1" customWidth="1"/>
    <col min="19" max="16384" width="9.140625" style="11"/>
  </cols>
  <sheetData>
    <row r="1" spans="1:13" s="18" customFormat="1" ht="38.25" customHeight="1">
      <c r="A1" s="17" t="s">
        <v>268</v>
      </c>
    </row>
    <row r="2" spans="1:13">
      <c r="A2" s="3"/>
      <c r="B2" s="101"/>
      <c r="C2" s="13"/>
      <c r="D2" s="46"/>
      <c r="E2" s="13"/>
      <c r="F2" s="13"/>
      <c r="G2" s="13"/>
      <c r="H2" s="13"/>
      <c r="I2" s="13"/>
      <c r="J2" s="13"/>
      <c r="K2" s="13"/>
      <c r="L2" s="13"/>
      <c r="M2" s="13"/>
    </row>
    <row r="3" spans="1:13">
      <c r="A3" s="3"/>
      <c r="B3" s="101"/>
      <c r="C3" s="13"/>
      <c r="D3" s="46"/>
      <c r="E3" s="13"/>
      <c r="F3" s="13"/>
      <c r="G3" s="13"/>
      <c r="H3" s="13"/>
      <c r="I3" s="13"/>
      <c r="J3" s="13"/>
      <c r="K3" s="13"/>
      <c r="L3" s="13"/>
      <c r="M3" s="13"/>
    </row>
    <row r="4" spans="1:13" ht="26.25" customHeight="1">
      <c r="A4" s="220" t="s">
        <v>270</v>
      </c>
      <c r="B4" s="221"/>
      <c r="C4" s="221"/>
      <c r="D4" s="222"/>
      <c r="E4" s="13"/>
      <c r="F4" s="13"/>
      <c r="G4" s="13"/>
      <c r="H4" s="13"/>
      <c r="I4" s="13"/>
      <c r="J4" s="13"/>
      <c r="K4" s="13"/>
      <c r="L4" s="13"/>
      <c r="M4" s="13"/>
    </row>
    <row r="5" spans="1:13" ht="15" customHeight="1">
      <c r="A5" s="91"/>
      <c r="B5" s="271" t="s">
        <v>53</v>
      </c>
      <c r="C5" s="278"/>
      <c r="D5" s="272"/>
      <c r="E5" s="13"/>
      <c r="F5" s="13"/>
      <c r="G5" s="13"/>
      <c r="H5" s="13"/>
      <c r="I5" s="13"/>
      <c r="J5" s="13"/>
      <c r="K5" s="13"/>
      <c r="L5" s="13"/>
      <c r="M5" s="13"/>
    </row>
    <row r="6" spans="1:13">
      <c r="A6" s="128"/>
      <c r="B6" s="129" t="s">
        <v>54</v>
      </c>
      <c r="C6" s="130" t="s">
        <v>55</v>
      </c>
      <c r="D6" s="131" t="s">
        <v>5</v>
      </c>
      <c r="E6" s="13"/>
      <c r="F6" s="3"/>
      <c r="G6" s="13"/>
      <c r="H6" s="13"/>
      <c r="I6" s="13"/>
      <c r="J6" s="13"/>
      <c r="K6" s="13"/>
      <c r="L6" s="13"/>
      <c r="M6" s="13"/>
    </row>
    <row r="7" spans="1:13">
      <c r="A7" s="38" t="s">
        <v>56</v>
      </c>
      <c r="B7" s="132">
        <f>SUM(G105:G431)</f>
        <v>32795.020000000004</v>
      </c>
      <c r="C7" s="132">
        <f>SUM(H105:H431)</f>
        <v>8023.48</v>
      </c>
      <c r="D7" s="133">
        <f>C7+B7</f>
        <v>40818.5</v>
      </c>
      <c r="E7" s="13"/>
      <c r="F7" s="14"/>
      <c r="G7" s="13"/>
      <c r="H7" s="13"/>
      <c r="I7" s="13"/>
      <c r="J7" s="105"/>
      <c r="K7" s="105"/>
      <c r="L7" s="13"/>
      <c r="M7" s="13"/>
    </row>
    <row r="8" spans="1:13">
      <c r="A8" s="30" t="s">
        <v>57</v>
      </c>
      <c r="B8" s="103">
        <f>SUM(I105:I431)</f>
        <v>2761.0199999999995</v>
      </c>
      <c r="C8" s="103">
        <f>SUM(J105:J431)</f>
        <v>5888.48</v>
      </c>
      <c r="D8" s="134">
        <f t="shared" ref="D8:D9" si="0">C8+B8</f>
        <v>8649.5</v>
      </c>
      <c r="E8" s="103"/>
      <c r="F8" s="14"/>
      <c r="G8" s="13"/>
      <c r="H8" s="13"/>
      <c r="I8" s="13"/>
      <c r="J8" s="125"/>
      <c r="K8" s="105"/>
      <c r="L8" s="13"/>
      <c r="M8" s="13"/>
    </row>
    <row r="9" spans="1:13">
      <c r="A9" s="62" t="s">
        <v>58</v>
      </c>
      <c r="B9" s="135">
        <f>B8+B7</f>
        <v>35556.04</v>
      </c>
      <c r="C9" s="135">
        <f>C8+C7</f>
        <v>13911.96</v>
      </c>
      <c r="D9" s="136">
        <f t="shared" si="0"/>
        <v>49468</v>
      </c>
      <c r="E9" s="103"/>
      <c r="F9" s="13"/>
      <c r="G9" s="13"/>
      <c r="H9" s="13"/>
      <c r="I9" s="13"/>
      <c r="J9" s="13"/>
      <c r="K9" s="13"/>
      <c r="L9" s="13"/>
      <c r="M9" s="13"/>
    </row>
    <row r="10" spans="1:13">
      <c r="A10" s="13" t="s">
        <v>269</v>
      </c>
      <c r="B10" s="103"/>
      <c r="C10" s="103"/>
      <c r="D10" s="103"/>
      <c r="E10" s="103"/>
      <c r="F10" s="13"/>
      <c r="G10" s="13"/>
      <c r="H10" s="13"/>
      <c r="I10" s="13"/>
      <c r="J10" s="13"/>
      <c r="K10" s="13"/>
      <c r="L10" s="13"/>
      <c r="M10" s="13"/>
    </row>
    <row r="11" spans="1:13">
      <c r="A11" s="277" t="s">
        <v>59</v>
      </c>
      <c r="B11" s="277"/>
      <c r="C11" s="277"/>
      <c r="D11" s="277"/>
      <c r="E11" s="103"/>
      <c r="F11" s="13"/>
      <c r="G11" s="13"/>
      <c r="H11" s="13"/>
      <c r="I11" s="13"/>
      <c r="J11" s="13"/>
      <c r="K11" s="13"/>
      <c r="L11" s="13"/>
      <c r="M11" s="13"/>
    </row>
    <row r="12" spans="1:13" ht="27.75" customHeight="1">
      <c r="A12" s="279" t="s">
        <v>60</v>
      </c>
      <c r="B12" s="279"/>
      <c r="C12" s="279"/>
      <c r="D12" s="279"/>
      <c r="E12" s="103"/>
      <c r="F12" s="13"/>
      <c r="G12" s="13"/>
      <c r="H12" s="13"/>
      <c r="I12" s="13"/>
      <c r="J12" s="13"/>
      <c r="K12" s="13"/>
      <c r="L12" s="13"/>
      <c r="M12" s="13"/>
    </row>
    <row r="13" spans="1:13">
      <c r="A13" s="16"/>
      <c r="B13" s="103"/>
      <c r="C13" s="103"/>
      <c r="D13" s="103"/>
      <c r="E13" s="103"/>
      <c r="F13" s="13"/>
      <c r="G13" s="13"/>
      <c r="H13" s="13"/>
      <c r="I13" s="13"/>
      <c r="J13" s="13"/>
      <c r="K13" s="13"/>
      <c r="L13" s="13"/>
      <c r="M13" s="13"/>
    </row>
    <row r="14" spans="1:13">
      <c r="A14" s="16"/>
      <c r="B14" s="103"/>
      <c r="C14" s="103"/>
      <c r="D14" s="103"/>
      <c r="E14" s="103"/>
      <c r="F14" s="13"/>
      <c r="G14" s="13"/>
      <c r="H14" s="13"/>
      <c r="I14" s="13"/>
      <c r="J14" s="13"/>
      <c r="K14" s="13"/>
      <c r="L14" s="13"/>
      <c r="M14" s="13"/>
    </row>
    <row r="15" spans="1:13" ht="30.75" customHeight="1">
      <c r="A15" s="220" t="s">
        <v>271</v>
      </c>
      <c r="B15" s="221"/>
      <c r="C15" s="221"/>
      <c r="D15" s="222"/>
      <c r="E15" s="103"/>
      <c r="F15" s="13"/>
      <c r="G15" s="13"/>
      <c r="H15" s="13"/>
      <c r="I15" s="13"/>
      <c r="J15" s="13"/>
      <c r="K15" s="13"/>
      <c r="L15" s="13"/>
      <c r="M15" s="13"/>
    </row>
    <row r="16" spans="1:13" ht="25.5">
      <c r="A16" s="93"/>
      <c r="B16" s="137" t="s">
        <v>213</v>
      </c>
      <c r="C16" s="138" t="s">
        <v>61</v>
      </c>
      <c r="D16" s="139" t="s">
        <v>214</v>
      </c>
      <c r="E16" s="103"/>
      <c r="F16" s="13"/>
      <c r="G16" s="13"/>
      <c r="H16" s="13"/>
      <c r="I16" s="13"/>
      <c r="J16" s="13"/>
      <c r="K16" s="13"/>
      <c r="L16" s="13"/>
      <c r="M16" s="13"/>
    </row>
    <row r="17" spans="1:13" ht="17.25" customHeight="1">
      <c r="A17" s="220" t="s">
        <v>62</v>
      </c>
      <c r="B17" s="221"/>
      <c r="C17" s="221"/>
      <c r="D17" s="222"/>
      <c r="E17" s="103"/>
      <c r="F17" s="13"/>
      <c r="G17" s="13"/>
      <c r="H17" s="13"/>
      <c r="I17" s="13"/>
      <c r="J17" s="13"/>
      <c r="K17" s="13"/>
      <c r="L17" s="13"/>
      <c r="M17" s="13"/>
    </row>
    <row r="18" spans="1:13">
      <c r="A18" s="38" t="s">
        <v>63</v>
      </c>
      <c r="B18" s="141">
        <f>B7*20/1000000</f>
        <v>0.65590040000000016</v>
      </c>
      <c r="C18" s="141">
        <f>C7*70/1000000</f>
        <v>0.56164360000000002</v>
      </c>
      <c r="D18" s="142">
        <f>C18+B18</f>
        <v>1.2175440000000002</v>
      </c>
      <c r="E18" s="13"/>
      <c r="F18" s="14"/>
      <c r="G18" s="13"/>
      <c r="H18" s="13"/>
      <c r="I18" s="13"/>
      <c r="J18" s="13"/>
      <c r="K18" s="13"/>
      <c r="L18" s="13"/>
      <c r="M18" s="13"/>
    </row>
    <row r="19" spans="1:13">
      <c r="A19" s="30" t="s">
        <v>64</v>
      </c>
      <c r="B19" s="106">
        <f>B8*20/1000000</f>
        <v>5.5220399999999996E-2</v>
      </c>
      <c r="C19" s="106">
        <f>C8*70/1000000</f>
        <v>0.41219359999999999</v>
      </c>
      <c r="D19" s="143">
        <f t="shared" ref="D19:D20" si="1">C19+B19</f>
        <v>0.467414</v>
      </c>
      <c r="E19" s="103"/>
      <c r="F19" s="14"/>
      <c r="G19" s="13"/>
      <c r="H19" s="13"/>
      <c r="I19" s="13"/>
      <c r="J19" s="108"/>
      <c r="K19" s="105"/>
      <c r="L19" s="13"/>
      <c r="M19" s="13"/>
    </row>
    <row r="20" spans="1:13">
      <c r="A20" s="6" t="s">
        <v>65</v>
      </c>
      <c r="B20" s="140">
        <f>(B19+B18)</f>
        <v>0.71112080000000011</v>
      </c>
      <c r="C20" s="140">
        <f>(C19+C18)</f>
        <v>0.97383719999999996</v>
      </c>
      <c r="D20" s="144">
        <f t="shared" si="1"/>
        <v>1.684958</v>
      </c>
      <c r="E20" s="103"/>
      <c r="F20" s="107"/>
      <c r="G20" s="13"/>
      <c r="H20" s="13"/>
      <c r="I20" s="13"/>
      <c r="J20" s="108"/>
      <c r="K20" s="13"/>
      <c r="L20" s="13"/>
      <c r="M20" s="13"/>
    </row>
    <row r="21" spans="1:13" ht="18.75" customHeight="1">
      <c r="A21" s="217" t="s">
        <v>221</v>
      </c>
      <c r="B21" s="218"/>
      <c r="C21" s="218"/>
      <c r="D21" s="219"/>
      <c r="E21" s="103"/>
      <c r="F21" s="14"/>
      <c r="G21" s="13"/>
      <c r="H21" s="13"/>
      <c r="I21" s="13"/>
      <c r="J21" s="108"/>
      <c r="K21" s="13"/>
      <c r="L21" s="13"/>
      <c r="M21" s="13"/>
    </row>
    <row r="22" spans="1:13">
      <c r="A22" s="30" t="s">
        <v>66</v>
      </c>
      <c r="B22" s="106">
        <f>B18*25%</f>
        <v>0.16397510000000004</v>
      </c>
      <c r="C22" s="106">
        <f>C18*25%</f>
        <v>0.14041090000000001</v>
      </c>
      <c r="D22" s="143">
        <f>C22+B22</f>
        <v>0.30438600000000005</v>
      </c>
      <c r="E22" s="103"/>
      <c r="F22" s="13"/>
      <c r="G22" s="13"/>
      <c r="H22" s="13"/>
      <c r="I22" s="13"/>
      <c r="J22" s="49"/>
      <c r="K22" s="13"/>
      <c r="L22" s="13"/>
      <c r="M22" s="13"/>
    </row>
    <row r="23" spans="1:13">
      <c r="A23" s="30" t="s">
        <v>67</v>
      </c>
      <c r="B23" s="106">
        <f>B19*25%</f>
        <v>1.3805099999999999E-2</v>
      </c>
      <c r="C23" s="106">
        <f>C19*25%</f>
        <v>0.1030484</v>
      </c>
      <c r="D23" s="143">
        <f t="shared" ref="D23:D24" si="2">C23+B23</f>
        <v>0.1168535</v>
      </c>
      <c r="E23" s="103"/>
      <c r="F23" s="13"/>
      <c r="G23" s="13"/>
      <c r="H23" s="13"/>
      <c r="I23" s="13"/>
      <c r="J23" s="49"/>
      <c r="K23" s="13"/>
      <c r="L23" s="13"/>
      <c r="M23" s="13"/>
    </row>
    <row r="24" spans="1:13">
      <c r="A24" s="62" t="s">
        <v>68</v>
      </c>
      <c r="B24" s="145">
        <f>B23+B22</f>
        <v>0.17778020000000003</v>
      </c>
      <c r="C24" s="145">
        <f>C23+C22</f>
        <v>0.24345929999999999</v>
      </c>
      <c r="D24" s="146">
        <f t="shared" si="2"/>
        <v>0.42123949999999999</v>
      </c>
      <c r="E24" s="103"/>
      <c r="F24" s="13"/>
      <c r="G24" s="13"/>
      <c r="H24" s="106"/>
      <c r="I24" s="13"/>
      <c r="J24" s="49"/>
      <c r="K24" s="13"/>
      <c r="L24" s="13"/>
      <c r="M24" s="13"/>
    </row>
    <row r="25" spans="1:13">
      <c r="A25" s="13" t="s">
        <v>269</v>
      </c>
      <c r="B25" s="106"/>
      <c r="C25" s="13"/>
      <c r="D25" s="106"/>
      <c r="E25" s="103"/>
      <c r="F25" s="13"/>
      <c r="G25" s="13"/>
      <c r="H25" s="13"/>
      <c r="I25" s="13"/>
      <c r="J25" s="49"/>
      <c r="K25" s="13"/>
      <c r="L25" s="13"/>
      <c r="M25" s="13"/>
    </row>
    <row r="26" spans="1:13">
      <c r="A26" s="277" t="s">
        <v>222</v>
      </c>
      <c r="B26" s="277"/>
      <c r="C26" s="277"/>
      <c r="D26" s="277"/>
      <c r="E26" s="103"/>
      <c r="F26" s="13"/>
      <c r="G26" s="13"/>
      <c r="H26" s="13"/>
      <c r="I26" s="13"/>
      <c r="J26" s="49"/>
      <c r="K26" s="13"/>
      <c r="L26" s="13"/>
      <c r="M26" s="13"/>
    </row>
    <row r="27" spans="1:13">
      <c r="A27" s="277" t="s">
        <v>69</v>
      </c>
      <c r="B27" s="277"/>
      <c r="C27" s="277"/>
      <c r="D27" s="277"/>
      <c r="E27" s="103"/>
      <c r="F27" s="13"/>
      <c r="G27" s="13"/>
      <c r="H27" s="13"/>
      <c r="I27" s="13"/>
      <c r="J27" s="49"/>
      <c r="K27" s="13"/>
      <c r="L27" s="13"/>
      <c r="M27" s="13"/>
    </row>
    <row r="28" spans="1:13" ht="57" customHeight="1">
      <c r="A28" s="245" t="s">
        <v>220</v>
      </c>
      <c r="B28" s="245"/>
      <c r="C28" s="245"/>
      <c r="D28" s="245"/>
      <c r="E28" s="147"/>
      <c r="F28" s="13"/>
      <c r="G28" s="13"/>
      <c r="H28" s="13"/>
      <c r="I28" s="13"/>
      <c r="J28" s="49"/>
      <c r="K28" s="13"/>
      <c r="L28" s="13"/>
      <c r="M28" s="13"/>
    </row>
    <row r="29" spans="1:13">
      <c r="A29" s="13"/>
      <c r="B29" s="13"/>
      <c r="C29" s="13"/>
      <c r="D29" s="108"/>
      <c r="E29" s="103"/>
      <c r="F29" s="13"/>
      <c r="G29" s="13"/>
      <c r="H29" s="13"/>
      <c r="I29" s="13"/>
      <c r="J29" s="49"/>
      <c r="K29" s="13"/>
      <c r="L29" s="13"/>
      <c r="M29" s="13"/>
    </row>
    <row r="30" spans="1:13">
      <c r="A30" s="13"/>
      <c r="B30" s="106"/>
      <c r="C30" s="13"/>
      <c r="D30" s="106"/>
      <c r="E30" s="103"/>
      <c r="F30" s="13"/>
      <c r="G30" s="13"/>
      <c r="H30" s="13"/>
      <c r="I30" s="13"/>
      <c r="J30" s="49"/>
      <c r="K30" s="13"/>
      <c r="L30" s="13"/>
      <c r="M30" s="13"/>
    </row>
    <row r="31" spans="1:13" ht="27.75" customHeight="1">
      <c r="A31" s="217" t="s">
        <v>273</v>
      </c>
      <c r="B31" s="218"/>
      <c r="C31" s="218"/>
      <c r="D31" s="218"/>
      <c r="E31" s="219"/>
      <c r="F31" s="109"/>
      <c r="G31" s="109"/>
      <c r="H31" s="41"/>
      <c r="I31" s="13"/>
      <c r="J31" s="13"/>
      <c r="K31" s="13"/>
      <c r="L31" s="13"/>
      <c r="M31" s="13"/>
    </row>
    <row r="32" spans="1:13" ht="39" customHeight="1">
      <c r="A32" s="149"/>
      <c r="B32" s="80" t="s">
        <v>70</v>
      </c>
      <c r="C32" s="80" t="s">
        <v>71</v>
      </c>
      <c r="D32" s="138" t="s">
        <v>72</v>
      </c>
      <c r="E32" s="139" t="s">
        <v>272</v>
      </c>
      <c r="F32" s="46"/>
      <c r="G32" s="46"/>
      <c r="H32" s="13"/>
      <c r="I32" s="13"/>
      <c r="J32" s="13"/>
      <c r="K32" s="13"/>
      <c r="L32" s="13"/>
      <c r="M32" s="13"/>
    </row>
    <row r="33" spans="1:13">
      <c r="A33" s="74" t="s">
        <v>73</v>
      </c>
      <c r="B33" s="36">
        <v>170</v>
      </c>
      <c r="C33" s="150">
        <v>3.0000000000000001E-3</v>
      </c>
      <c r="D33" s="151">
        <f>B33*C33</f>
        <v>0.51</v>
      </c>
      <c r="E33" s="67">
        <f>D33*25%</f>
        <v>0.1275</v>
      </c>
      <c r="F33" s="50"/>
      <c r="G33" s="106"/>
      <c r="H33" s="13"/>
      <c r="I33" s="13"/>
      <c r="J33" s="13"/>
      <c r="K33" s="13"/>
      <c r="L33" s="13"/>
      <c r="M33" s="13"/>
    </row>
    <row r="34" spans="1:13">
      <c r="A34" s="152" t="s">
        <v>74</v>
      </c>
      <c r="B34" s="13">
        <v>95</v>
      </c>
      <c r="C34" s="110">
        <v>1E-3</v>
      </c>
      <c r="D34" s="41">
        <f>B34*C34</f>
        <v>9.5000000000000001E-2</v>
      </c>
      <c r="E34" s="60">
        <f>D34*25%</f>
        <v>2.375E-2</v>
      </c>
      <c r="F34" s="50"/>
      <c r="G34" s="106"/>
      <c r="H34" s="13"/>
      <c r="I34" s="13"/>
      <c r="J34" s="13"/>
      <c r="K34" s="13"/>
      <c r="L34" s="13"/>
      <c r="M34" s="13"/>
    </row>
    <row r="35" spans="1:13">
      <c r="A35" s="153" t="s">
        <v>5</v>
      </c>
      <c r="B35" s="154">
        <f>B34+B33</f>
        <v>265</v>
      </c>
      <c r="C35" s="85" t="s">
        <v>11</v>
      </c>
      <c r="D35" s="155">
        <f>D34+D33</f>
        <v>0.60499999999999998</v>
      </c>
      <c r="E35" s="156">
        <f>E34+E33</f>
        <v>0.15125</v>
      </c>
      <c r="F35" s="50"/>
      <c r="G35" s="106"/>
      <c r="H35" s="13"/>
      <c r="I35" s="13"/>
      <c r="J35" s="13"/>
      <c r="K35" s="13"/>
      <c r="L35" s="13"/>
      <c r="M35" s="13"/>
    </row>
    <row r="36" spans="1:13">
      <c r="A36" s="13" t="s">
        <v>269</v>
      </c>
      <c r="B36" s="13"/>
      <c r="C36" s="13"/>
      <c r="D36" s="46"/>
      <c r="E36" s="13"/>
      <c r="F36" s="14"/>
      <c r="G36" s="13"/>
      <c r="H36" s="13"/>
      <c r="I36" s="13"/>
      <c r="J36" s="105"/>
      <c r="K36" s="105"/>
      <c r="L36" s="13"/>
      <c r="M36" s="13"/>
    </row>
    <row r="37" spans="1:13">
      <c r="A37" s="281" t="s">
        <v>212</v>
      </c>
      <c r="B37" s="281"/>
      <c r="C37" s="281"/>
      <c r="D37" s="281"/>
      <c r="E37" s="281"/>
      <c r="F37" s="14"/>
      <c r="G37" s="13"/>
      <c r="H37" s="13"/>
      <c r="I37" s="13"/>
      <c r="J37" s="105"/>
      <c r="K37" s="105"/>
      <c r="L37" s="13"/>
      <c r="M37" s="13"/>
    </row>
    <row r="38" spans="1:13">
      <c r="A38" s="281" t="s">
        <v>75</v>
      </c>
      <c r="B38" s="281"/>
      <c r="C38" s="281"/>
      <c r="D38" s="281"/>
      <c r="E38" s="281"/>
      <c r="F38" s="14"/>
      <c r="G38" s="13"/>
      <c r="H38" s="13"/>
      <c r="I38" s="13"/>
      <c r="J38" s="105"/>
      <c r="K38" s="105"/>
      <c r="L38" s="13"/>
      <c r="M38" s="13"/>
    </row>
    <row r="39" spans="1:13" ht="15.75" customHeight="1">
      <c r="A39" s="245" t="s">
        <v>223</v>
      </c>
      <c r="B39" s="245"/>
      <c r="C39" s="245"/>
      <c r="D39" s="245"/>
      <c r="E39" s="245"/>
      <c r="F39" s="46"/>
      <c r="G39" s="46"/>
      <c r="H39" s="102"/>
      <c r="I39" s="13"/>
      <c r="J39" s="13"/>
      <c r="K39" s="13"/>
      <c r="L39" s="13"/>
      <c r="M39" s="13"/>
    </row>
    <row r="40" spans="1:13">
      <c r="A40" s="87"/>
      <c r="B40" s="101"/>
      <c r="C40" s="102"/>
      <c r="D40" s="41"/>
      <c r="E40" s="13"/>
      <c r="F40" s="13"/>
      <c r="G40" s="13"/>
      <c r="H40" s="110"/>
      <c r="I40" s="13"/>
      <c r="J40" s="13"/>
      <c r="K40" s="13"/>
      <c r="L40" s="13"/>
      <c r="M40" s="13"/>
    </row>
    <row r="41" spans="1:13">
      <c r="A41" s="13"/>
      <c r="B41" s="101"/>
      <c r="C41" s="102"/>
      <c r="D41" s="41"/>
      <c r="E41" s="13"/>
      <c r="F41" s="13"/>
      <c r="G41" s="13"/>
      <c r="H41" s="110"/>
      <c r="I41" s="13"/>
      <c r="J41" s="13"/>
      <c r="K41" s="13"/>
      <c r="L41" s="13"/>
      <c r="M41" s="13"/>
    </row>
    <row r="42" spans="1:13">
      <c r="A42" s="13"/>
      <c r="B42" s="101"/>
      <c r="C42" s="102"/>
      <c r="D42" s="41"/>
      <c r="E42" s="13"/>
      <c r="F42" s="14"/>
      <c r="G42" s="13"/>
      <c r="H42" s="13"/>
      <c r="I42" s="13"/>
      <c r="J42" s="49"/>
      <c r="K42" s="105"/>
      <c r="L42" s="13"/>
      <c r="M42" s="13"/>
    </row>
    <row r="43" spans="1:13" ht="27" customHeight="1">
      <c r="A43" s="220" t="s">
        <v>274</v>
      </c>
      <c r="B43" s="221"/>
      <c r="C43" s="221"/>
      <c r="D43" s="222"/>
      <c r="E43" s="13"/>
      <c r="F43" s="13"/>
      <c r="G43" s="13"/>
      <c r="H43" s="13"/>
      <c r="I43" s="49"/>
      <c r="J43" s="13"/>
      <c r="K43" s="13"/>
      <c r="L43" s="13"/>
      <c r="M43" s="13"/>
    </row>
    <row r="44" spans="1:13">
      <c r="A44" s="220" t="s">
        <v>76</v>
      </c>
      <c r="B44" s="221"/>
      <c r="C44" s="221"/>
      <c r="D44" s="222"/>
      <c r="E44" s="13"/>
      <c r="F44" s="13"/>
      <c r="G44" s="13"/>
      <c r="H44" s="13"/>
      <c r="I44" s="49"/>
      <c r="J44" s="13"/>
      <c r="K44" s="13"/>
      <c r="L44" s="13"/>
      <c r="M44" s="13"/>
    </row>
    <row r="45" spans="1:13" s="104" customFormat="1">
      <c r="A45" s="157"/>
      <c r="B45" s="80" t="s">
        <v>77</v>
      </c>
      <c r="C45" s="80" t="s">
        <v>78</v>
      </c>
      <c r="D45" s="65" t="s">
        <v>79</v>
      </c>
      <c r="E45" s="105"/>
      <c r="F45" s="105"/>
      <c r="G45" s="105"/>
      <c r="H45" s="105"/>
      <c r="I45" s="112"/>
      <c r="J45" s="105"/>
      <c r="K45" s="105"/>
      <c r="L45" s="105"/>
      <c r="M45" s="105"/>
    </row>
    <row r="46" spans="1:13">
      <c r="A46" s="38" t="s">
        <v>80</v>
      </c>
      <c r="B46" s="151">
        <f>E35+B24</f>
        <v>0.32903020000000005</v>
      </c>
      <c r="C46" s="158">
        <f>C24</f>
        <v>0.24345929999999999</v>
      </c>
      <c r="D46" s="159">
        <f>C46+B46</f>
        <v>0.5724895000000001</v>
      </c>
      <c r="E46" s="13"/>
      <c r="F46" s="41"/>
      <c r="G46" s="13"/>
      <c r="H46" s="13"/>
      <c r="I46" s="49"/>
      <c r="J46" s="13"/>
      <c r="K46" s="13"/>
      <c r="L46" s="13"/>
      <c r="M46" s="13"/>
    </row>
    <row r="47" spans="1:13">
      <c r="A47" s="30" t="s">
        <v>81</v>
      </c>
      <c r="B47" s="41">
        <f>B46*50%</f>
        <v>0.16451510000000003</v>
      </c>
      <c r="C47" s="41">
        <f>C46*100%</f>
        <v>0.24345929999999999</v>
      </c>
      <c r="D47" s="160">
        <f>C47+B47</f>
        <v>0.40797440000000001</v>
      </c>
      <c r="E47" s="13"/>
      <c r="F47" s="114"/>
      <c r="G47" s="13"/>
      <c r="H47" s="13"/>
      <c r="I47" s="49"/>
      <c r="J47" s="13"/>
      <c r="K47" s="13"/>
      <c r="L47" s="13"/>
      <c r="M47" s="13"/>
    </row>
    <row r="48" spans="1:13">
      <c r="A48" s="30" t="s">
        <v>82</v>
      </c>
      <c r="B48" s="41">
        <f>B47*47%</f>
        <v>7.7322097000000006E-2</v>
      </c>
      <c r="C48" s="41">
        <f>C47*47%</f>
        <v>0.11442587099999998</v>
      </c>
      <c r="D48" s="160">
        <f>C48+B48</f>
        <v>0.19174796799999999</v>
      </c>
      <c r="E48" s="13"/>
      <c r="F48" s="13"/>
      <c r="G48" s="13"/>
      <c r="H48" s="13"/>
      <c r="I48" s="13"/>
      <c r="J48" s="13"/>
      <c r="K48" s="105"/>
      <c r="L48" s="13"/>
      <c r="M48" s="13"/>
    </row>
    <row r="49" spans="1:13">
      <c r="A49" s="220" t="s">
        <v>83</v>
      </c>
      <c r="B49" s="221"/>
      <c r="C49" s="221"/>
      <c r="D49" s="222"/>
      <c r="E49" s="13"/>
      <c r="F49" s="13"/>
      <c r="G49" s="13"/>
      <c r="H49" s="13"/>
      <c r="I49" s="49"/>
      <c r="J49" s="13"/>
      <c r="K49" s="13"/>
      <c r="L49" s="13"/>
      <c r="M49" s="13"/>
    </row>
    <row r="50" spans="1:13">
      <c r="A50" s="64"/>
      <c r="B50" s="80" t="s">
        <v>77</v>
      </c>
      <c r="C50" s="80" t="s">
        <v>78</v>
      </c>
      <c r="D50" s="65" t="s">
        <v>79</v>
      </c>
      <c r="E50" s="13"/>
      <c r="F50" s="13"/>
      <c r="G50" s="13"/>
      <c r="H50" s="13"/>
      <c r="I50" s="49"/>
      <c r="J50" s="13"/>
      <c r="K50" s="13"/>
      <c r="L50" s="13"/>
      <c r="M50" s="13"/>
    </row>
    <row r="51" spans="1:13">
      <c r="A51" s="30" t="s">
        <v>80</v>
      </c>
      <c r="B51" s="41">
        <f>B46</f>
        <v>0.32903020000000005</v>
      </c>
      <c r="C51" s="113">
        <f>C46</f>
        <v>0.24345929999999999</v>
      </c>
      <c r="D51" s="160">
        <f>C51+B51</f>
        <v>0.5724895000000001</v>
      </c>
      <c r="E51" s="13"/>
      <c r="F51" s="13"/>
      <c r="G51" s="13"/>
      <c r="H51" s="13"/>
      <c r="I51" s="49"/>
      <c r="J51" s="13"/>
      <c r="K51" s="13"/>
      <c r="L51" s="13"/>
      <c r="M51" s="13"/>
    </row>
    <row r="52" spans="1:13">
      <c r="A52" s="30" t="s">
        <v>81</v>
      </c>
      <c r="B52" s="41">
        <f>B51*25%</f>
        <v>8.2257550000000013E-2</v>
      </c>
      <c r="C52" s="113">
        <f>C51*25%</f>
        <v>6.0864824999999997E-2</v>
      </c>
      <c r="D52" s="160">
        <f t="shared" ref="D52:D53" si="3">C52+B52</f>
        <v>0.14312237500000002</v>
      </c>
      <c r="E52" s="13"/>
      <c r="F52" s="14"/>
      <c r="G52" s="13"/>
      <c r="H52" s="13"/>
      <c r="I52" s="49"/>
      <c r="J52" s="13"/>
      <c r="K52" s="13"/>
      <c r="L52" s="13"/>
      <c r="M52" s="13"/>
    </row>
    <row r="53" spans="1:13">
      <c r="A53" s="33" t="s">
        <v>82</v>
      </c>
      <c r="B53" s="111">
        <f>B52*47%</f>
        <v>3.8661048500000003E-2</v>
      </c>
      <c r="C53" s="111">
        <f>C52*47%</f>
        <v>2.8606467749999996E-2</v>
      </c>
      <c r="D53" s="161">
        <f t="shared" si="3"/>
        <v>6.7267516249999992E-2</v>
      </c>
      <c r="E53" s="13"/>
      <c r="F53" s="13"/>
      <c r="G53" s="13"/>
      <c r="H53" s="13"/>
      <c r="I53" s="49"/>
      <c r="J53" s="13"/>
      <c r="K53" s="13"/>
      <c r="L53" s="13"/>
      <c r="M53" s="13"/>
    </row>
    <row r="54" spans="1:13">
      <c r="A54" s="13" t="s">
        <v>269</v>
      </c>
      <c r="B54" s="41"/>
      <c r="C54" s="41"/>
      <c r="D54" s="41"/>
      <c r="E54" s="13"/>
      <c r="F54" s="13"/>
      <c r="G54" s="13"/>
      <c r="H54" s="13"/>
      <c r="I54" s="49"/>
      <c r="J54" s="14"/>
      <c r="K54" s="105"/>
      <c r="L54" s="13"/>
      <c r="M54" s="13"/>
    </row>
    <row r="55" spans="1:13" ht="30" customHeight="1">
      <c r="A55" s="276" t="s">
        <v>84</v>
      </c>
      <c r="B55" s="276"/>
      <c r="C55" s="276"/>
      <c r="D55" s="276"/>
      <c r="E55" s="46"/>
      <c r="F55" s="46"/>
      <c r="G55" s="13"/>
      <c r="H55" s="13"/>
      <c r="I55" s="49"/>
      <c r="J55" s="14"/>
      <c r="K55" s="105"/>
      <c r="L55" s="13"/>
      <c r="M55" s="13"/>
    </row>
    <row r="56" spans="1:13" ht="12.75" customHeight="1">
      <c r="A56" s="276" t="s">
        <v>85</v>
      </c>
      <c r="B56" s="276"/>
      <c r="C56" s="276"/>
      <c r="D56" s="276"/>
      <c r="E56" s="46"/>
      <c r="F56" s="46"/>
      <c r="G56" s="13"/>
      <c r="H56" s="13"/>
      <c r="I56" s="49"/>
      <c r="J56" s="14"/>
      <c r="K56" s="105"/>
      <c r="L56" s="13"/>
      <c r="M56" s="13"/>
    </row>
    <row r="57" spans="1:13" ht="28.5" customHeight="1">
      <c r="A57" s="276" t="s">
        <v>86</v>
      </c>
      <c r="B57" s="276"/>
      <c r="C57" s="276"/>
      <c r="D57" s="276"/>
      <c r="E57" s="46"/>
      <c r="F57" s="46"/>
      <c r="G57" s="13"/>
      <c r="H57" s="13"/>
      <c r="I57" s="49"/>
      <c r="J57" s="14"/>
      <c r="K57" s="105"/>
      <c r="L57" s="13"/>
      <c r="M57" s="13"/>
    </row>
    <row r="58" spans="1:13" ht="31.5" customHeight="1">
      <c r="A58" s="276" t="s">
        <v>87</v>
      </c>
      <c r="B58" s="276"/>
      <c r="C58" s="276"/>
      <c r="D58" s="276"/>
      <c r="E58" s="46"/>
      <c r="F58" s="46"/>
      <c r="G58" s="13"/>
      <c r="H58" s="13"/>
      <c r="I58" s="49"/>
      <c r="J58" s="14"/>
      <c r="K58" s="105"/>
      <c r="L58" s="13"/>
      <c r="M58" s="13"/>
    </row>
    <row r="59" spans="1:13" ht="28.5" customHeight="1">
      <c r="A59" s="276" t="s">
        <v>88</v>
      </c>
      <c r="B59" s="276"/>
      <c r="C59" s="276"/>
      <c r="D59" s="276"/>
      <c r="E59" s="46"/>
      <c r="F59" s="46"/>
      <c r="G59" s="13"/>
      <c r="H59" s="13"/>
      <c r="I59" s="49"/>
      <c r="J59" s="14"/>
      <c r="K59" s="105"/>
      <c r="L59" s="13"/>
      <c r="M59" s="13"/>
    </row>
    <row r="60" spans="1:13" ht="44.25" customHeight="1">
      <c r="A60" s="276" t="s">
        <v>219</v>
      </c>
      <c r="B60" s="276"/>
      <c r="C60" s="276"/>
      <c r="D60" s="276"/>
      <c r="E60" s="46"/>
      <c r="F60" s="46"/>
      <c r="G60" s="13"/>
      <c r="H60" s="13"/>
      <c r="I60" s="49"/>
      <c r="J60" s="14"/>
      <c r="K60" s="105"/>
      <c r="L60" s="13"/>
      <c r="M60" s="13"/>
    </row>
    <row r="61" spans="1:13" ht="60.75" customHeight="1">
      <c r="A61" s="280" t="s">
        <v>218</v>
      </c>
      <c r="B61" s="280"/>
      <c r="C61" s="280"/>
      <c r="D61" s="280"/>
      <c r="E61" s="162"/>
      <c r="F61" s="162"/>
      <c r="G61" s="13"/>
      <c r="H61" s="13"/>
      <c r="I61" s="49"/>
      <c r="J61" s="14"/>
      <c r="K61" s="105"/>
      <c r="L61" s="13"/>
      <c r="M61" s="13"/>
    </row>
    <row r="62" spans="1:13">
      <c r="A62" s="276" t="s">
        <v>89</v>
      </c>
      <c r="B62" s="276"/>
      <c r="C62" s="276"/>
      <c r="D62" s="276"/>
      <c r="E62" s="13"/>
      <c r="F62" s="13"/>
      <c r="G62" s="13"/>
      <c r="H62" s="13"/>
      <c r="I62" s="49"/>
      <c r="J62" s="14"/>
      <c r="K62" s="105"/>
      <c r="L62" s="13"/>
      <c r="M62" s="13"/>
    </row>
    <row r="63" spans="1:13" ht="30" customHeight="1">
      <c r="A63" s="276" t="s">
        <v>90</v>
      </c>
      <c r="B63" s="276"/>
      <c r="C63" s="276"/>
      <c r="D63" s="276"/>
      <c r="E63" s="46"/>
      <c r="F63" s="46"/>
      <c r="G63" s="13"/>
      <c r="H63" s="13"/>
      <c r="I63" s="49"/>
      <c r="J63" s="14"/>
      <c r="K63" s="105"/>
      <c r="L63" s="13"/>
      <c r="M63" s="13"/>
    </row>
    <row r="64" spans="1:13">
      <c r="A64" s="115"/>
      <c r="B64" s="116"/>
      <c r="C64" s="116"/>
      <c r="D64" s="116"/>
      <c r="E64" s="116"/>
      <c r="F64" s="116"/>
      <c r="G64" s="13"/>
      <c r="H64" s="13"/>
      <c r="I64" s="49"/>
      <c r="J64" s="14"/>
      <c r="K64" s="105"/>
      <c r="L64" s="13"/>
      <c r="M64" s="13"/>
    </row>
    <row r="65" spans="1:13">
      <c r="A65" s="115"/>
      <c r="B65" s="116"/>
      <c r="C65" s="116"/>
      <c r="D65" s="116"/>
      <c r="E65" s="116"/>
      <c r="F65" s="116"/>
      <c r="G65" s="13"/>
      <c r="H65" s="13"/>
      <c r="I65" s="49"/>
      <c r="J65" s="14"/>
      <c r="K65" s="105"/>
      <c r="L65" s="13"/>
      <c r="M65" s="13"/>
    </row>
    <row r="66" spans="1:13">
      <c r="A66" s="115"/>
      <c r="B66" s="116"/>
      <c r="C66" s="116"/>
      <c r="D66" s="116"/>
      <c r="E66" s="116"/>
      <c r="F66" s="116"/>
      <c r="G66" s="13"/>
      <c r="H66" s="13"/>
      <c r="I66" s="49"/>
      <c r="J66" s="14"/>
      <c r="K66" s="105"/>
      <c r="L66" s="13"/>
      <c r="M66" s="13"/>
    </row>
    <row r="67" spans="1:13" ht="24.75" customHeight="1">
      <c r="A67" s="220" t="s">
        <v>91</v>
      </c>
      <c r="B67" s="221"/>
      <c r="C67" s="221"/>
      <c r="D67" s="221"/>
      <c r="E67" s="222"/>
      <c r="F67" s="174"/>
      <c r="G67" s="174"/>
      <c r="H67" s="174"/>
      <c r="I67" s="174"/>
      <c r="J67" s="174"/>
      <c r="K67" s="174"/>
      <c r="L67" s="13"/>
      <c r="M67" s="13"/>
    </row>
    <row r="68" spans="1:13">
      <c r="A68" s="13" t="s">
        <v>92</v>
      </c>
      <c r="B68" s="13"/>
      <c r="C68" s="13"/>
      <c r="D68" s="13"/>
      <c r="E68" s="13"/>
      <c r="F68" s="13"/>
      <c r="G68" s="13"/>
      <c r="H68" s="13"/>
      <c r="I68" s="49"/>
      <c r="J68" s="14"/>
      <c r="K68" s="105"/>
      <c r="L68" s="13"/>
      <c r="M68" s="13"/>
    </row>
    <row r="69" spans="1:13">
      <c r="A69" s="13"/>
      <c r="B69" s="13"/>
      <c r="C69" s="13"/>
      <c r="D69" s="13"/>
      <c r="E69" s="13"/>
      <c r="F69" s="13"/>
      <c r="G69" s="13"/>
      <c r="H69" s="13"/>
      <c r="I69" s="49"/>
      <c r="J69" s="14"/>
      <c r="K69" s="105"/>
      <c r="L69" s="13"/>
      <c r="M69" s="13"/>
    </row>
    <row r="70" spans="1:13">
      <c r="A70" s="179" t="s">
        <v>275</v>
      </c>
      <c r="B70" s="179"/>
      <c r="C70" s="179"/>
      <c r="D70" s="179"/>
      <c r="E70" s="179"/>
      <c r="F70" s="16"/>
      <c r="G70" s="16"/>
      <c r="H70" s="16"/>
      <c r="I70" s="54"/>
      <c r="J70" s="172"/>
      <c r="K70" s="173"/>
      <c r="L70" s="13"/>
      <c r="M70" s="13"/>
    </row>
    <row r="71" spans="1:13" ht="24" customHeight="1">
      <c r="A71" s="220" t="s">
        <v>93</v>
      </c>
      <c r="B71" s="221"/>
      <c r="C71" s="221"/>
      <c r="D71" s="221"/>
      <c r="E71" s="222"/>
      <c r="F71" s="13"/>
      <c r="G71" s="13"/>
      <c r="H71" s="13"/>
      <c r="I71" s="49"/>
      <c r="J71" s="14"/>
      <c r="K71" s="105"/>
      <c r="L71" s="13"/>
      <c r="M71" s="13"/>
    </row>
    <row r="72" spans="1:13">
      <c r="A72" s="64"/>
      <c r="B72" s="164"/>
      <c r="C72" s="165" t="s">
        <v>94</v>
      </c>
      <c r="D72" s="271" t="s">
        <v>95</v>
      </c>
      <c r="E72" s="272"/>
      <c r="G72" s="13"/>
      <c r="H72" s="13"/>
      <c r="I72" s="49"/>
      <c r="J72" s="14"/>
      <c r="K72" s="105"/>
      <c r="L72" s="13"/>
      <c r="M72" s="13"/>
    </row>
    <row r="73" spans="1:13">
      <c r="A73" s="64"/>
      <c r="B73" s="164"/>
      <c r="C73" s="170"/>
      <c r="D73" s="81"/>
      <c r="E73" s="177" t="s">
        <v>98</v>
      </c>
      <c r="G73" s="13"/>
      <c r="H73" s="13"/>
      <c r="I73" s="49"/>
      <c r="J73" s="14"/>
      <c r="K73" s="105"/>
      <c r="L73" s="13"/>
      <c r="M73" s="13"/>
    </row>
    <row r="74" spans="1:13">
      <c r="A74" s="13" t="s">
        <v>96</v>
      </c>
      <c r="B74" s="126" t="s">
        <v>97</v>
      </c>
      <c r="C74" s="13">
        <v>56.12</v>
      </c>
      <c r="D74" s="25">
        <v>2006</v>
      </c>
      <c r="E74" s="31">
        <v>102.3</v>
      </c>
      <c r="G74" s="13"/>
      <c r="H74" s="13"/>
      <c r="I74" s="49"/>
      <c r="J74" s="14"/>
      <c r="K74" s="105"/>
      <c r="L74" s="13"/>
      <c r="M74" s="13"/>
    </row>
    <row r="75" spans="1:13">
      <c r="A75" s="13" t="s">
        <v>96</v>
      </c>
      <c r="B75" s="13" t="s">
        <v>99</v>
      </c>
      <c r="C75" s="117">
        <f>C74/100*(100+E76)</f>
        <v>62.812707722385134</v>
      </c>
      <c r="D75" s="25">
        <v>2010</v>
      </c>
      <c r="E75" s="31">
        <v>114.5</v>
      </c>
      <c r="G75" s="13"/>
      <c r="H75" s="13"/>
      <c r="I75" s="49"/>
      <c r="J75" s="14"/>
      <c r="K75" s="105"/>
      <c r="L75" s="13"/>
      <c r="M75" s="13"/>
    </row>
    <row r="76" spans="1:13">
      <c r="A76" s="13"/>
      <c r="B76" s="13"/>
      <c r="C76" s="13"/>
      <c r="D76" s="26" t="s">
        <v>276</v>
      </c>
      <c r="E76" s="166">
        <f>(100/E74*E75)-100</f>
        <v>11.925708699902245</v>
      </c>
      <c r="G76" s="13"/>
      <c r="H76" s="13"/>
      <c r="I76" s="49"/>
      <c r="J76" s="14"/>
      <c r="K76" s="105"/>
      <c r="L76" s="13"/>
      <c r="M76" s="13"/>
    </row>
    <row r="77" spans="1:13">
      <c r="A77" s="220" t="s">
        <v>100</v>
      </c>
      <c r="B77" s="221"/>
      <c r="C77" s="221"/>
      <c r="D77" s="221"/>
      <c r="E77" s="222"/>
      <c r="G77" s="13"/>
      <c r="H77" s="13"/>
      <c r="I77" s="49"/>
      <c r="J77" s="14"/>
      <c r="K77" s="105"/>
      <c r="L77" s="13"/>
      <c r="M77" s="13"/>
    </row>
    <row r="78" spans="1:13">
      <c r="A78" s="59" t="s">
        <v>96</v>
      </c>
      <c r="B78" s="163"/>
      <c r="C78" s="165" t="s">
        <v>94</v>
      </c>
      <c r="D78" s="271" t="s">
        <v>95</v>
      </c>
      <c r="E78" s="272"/>
      <c r="G78" s="13"/>
      <c r="H78" s="13"/>
      <c r="I78" s="49"/>
      <c r="J78" s="14"/>
      <c r="K78" s="105"/>
      <c r="L78" s="13"/>
      <c r="M78" s="13"/>
    </row>
    <row r="79" spans="1:13">
      <c r="A79" s="181"/>
      <c r="B79" s="182"/>
      <c r="C79" s="183"/>
      <c r="D79" s="59"/>
      <c r="E79" s="177" t="s">
        <v>98</v>
      </c>
      <c r="G79" s="13"/>
      <c r="H79" s="13"/>
      <c r="I79" s="49"/>
      <c r="J79" s="14"/>
      <c r="K79" s="105"/>
      <c r="L79" s="13"/>
      <c r="M79" s="13"/>
    </row>
    <row r="80" spans="1:13">
      <c r="A80" s="38" t="s">
        <v>101</v>
      </c>
      <c r="B80" s="36" t="s">
        <v>102</v>
      </c>
      <c r="C80" s="167">
        <v>77.36</v>
      </c>
      <c r="D80" s="38"/>
      <c r="E80" s="37"/>
      <c r="G80" s="13"/>
      <c r="H80" s="13"/>
      <c r="I80" s="49"/>
      <c r="J80" s="14"/>
      <c r="K80" s="105"/>
      <c r="L80" s="13"/>
      <c r="M80" s="13"/>
    </row>
    <row r="81" spans="1:13">
      <c r="A81" s="30" t="s">
        <v>103</v>
      </c>
      <c r="B81" s="13" t="s">
        <v>102</v>
      </c>
      <c r="C81" s="31">
        <v>48.75</v>
      </c>
      <c r="D81" s="25">
        <v>2000</v>
      </c>
      <c r="E81" s="31">
        <v>93.1</v>
      </c>
      <c r="G81" s="13"/>
      <c r="H81" s="13"/>
      <c r="I81" s="49"/>
      <c r="J81" s="14"/>
      <c r="K81" s="105"/>
      <c r="L81" s="13"/>
      <c r="M81" s="13"/>
    </row>
    <row r="82" spans="1:13">
      <c r="A82" s="30" t="s">
        <v>96</v>
      </c>
      <c r="B82" s="13" t="s">
        <v>102</v>
      </c>
      <c r="C82" s="168">
        <f>(C81+C80)/2</f>
        <v>63.055</v>
      </c>
      <c r="D82" s="25">
        <v>2010</v>
      </c>
      <c r="E82" s="31">
        <v>114.5</v>
      </c>
      <c r="G82" s="13"/>
      <c r="H82" s="13"/>
      <c r="I82" s="49"/>
      <c r="J82" s="14"/>
      <c r="K82" s="105"/>
      <c r="L82" s="13"/>
      <c r="M82" s="13"/>
    </row>
    <row r="83" spans="1:13">
      <c r="A83" s="33" t="s">
        <v>96</v>
      </c>
      <c r="B83" s="15" t="s">
        <v>99</v>
      </c>
      <c r="C83" s="169">
        <f>C82/100*(100+E83)</f>
        <v>77.548845327604724</v>
      </c>
      <c r="D83" s="26" t="s">
        <v>276</v>
      </c>
      <c r="E83" s="166">
        <f>(100/E81*E82)-100</f>
        <v>22.986036519871107</v>
      </c>
      <c r="G83" s="13"/>
      <c r="H83" s="13"/>
      <c r="I83" s="49"/>
      <c r="J83" s="14"/>
      <c r="K83" s="105"/>
      <c r="L83" s="13"/>
      <c r="M83" s="13"/>
    </row>
    <row r="84" spans="1:13" ht="12" customHeight="1">
      <c r="A84" s="217" t="s">
        <v>104</v>
      </c>
      <c r="B84" s="218"/>
      <c r="C84" s="219"/>
      <c r="D84" s="46"/>
      <c r="E84" s="13"/>
      <c r="F84" s="127"/>
      <c r="G84" s="13"/>
      <c r="H84" s="13"/>
      <c r="I84" s="49"/>
      <c r="J84" s="14"/>
      <c r="K84" s="105"/>
      <c r="L84" s="13"/>
      <c r="M84" s="13"/>
    </row>
    <row r="85" spans="1:13">
      <c r="A85" s="64"/>
      <c r="B85" s="164"/>
      <c r="C85" s="170" t="s">
        <v>94</v>
      </c>
      <c r="D85" s="13"/>
      <c r="E85" s="13"/>
      <c r="F85" s="13"/>
      <c r="G85" s="13"/>
      <c r="H85" s="13"/>
      <c r="I85" s="49"/>
      <c r="J85" s="14"/>
      <c r="K85" s="105"/>
      <c r="L85" s="13"/>
      <c r="M85" s="13"/>
    </row>
    <row r="86" spans="1:13">
      <c r="A86" s="61" t="s">
        <v>96</v>
      </c>
      <c r="B86" s="9" t="s">
        <v>99</v>
      </c>
      <c r="C86" s="171">
        <f>(C83+C75)/2</f>
        <v>70.180776524994926</v>
      </c>
      <c r="D86" s="11"/>
      <c r="J86" s="14"/>
      <c r="K86" s="105"/>
      <c r="L86" s="13"/>
      <c r="M86" s="13"/>
    </row>
    <row r="87" spans="1:13">
      <c r="A87" s="273" t="s">
        <v>211</v>
      </c>
      <c r="B87" s="273"/>
      <c r="C87" s="273"/>
      <c r="D87" s="273"/>
      <c r="E87" s="273"/>
      <c r="F87" s="49"/>
      <c r="G87" s="13"/>
      <c r="H87" s="13"/>
      <c r="I87" s="49"/>
      <c r="J87" s="14"/>
      <c r="K87" s="105"/>
      <c r="L87" s="13"/>
      <c r="M87" s="13"/>
    </row>
    <row r="88" spans="1:13">
      <c r="A88" s="13"/>
      <c r="B88" s="117"/>
      <c r="C88" s="13"/>
      <c r="D88" s="13"/>
      <c r="E88" s="13"/>
      <c r="F88" s="13"/>
      <c r="G88" s="13"/>
      <c r="H88" s="13"/>
      <c r="I88" s="49"/>
      <c r="J88" s="14"/>
      <c r="K88" s="105"/>
      <c r="L88" s="13"/>
      <c r="M88" s="13"/>
    </row>
    <row r="89" spans="1:13">
      <c r="A89" s="180" t="s">
        <v>277</v>
      </c>
      <c r="B89" s="180"/>
      <c r="C89" s="180"/>
      <c r="D89" s="180"/>
      <c r="E89" s="180"/>
      <c r="F89" s="16"/>
      <c r="G89" s="16"/>
      <c r="H89" s="16"/>
      <c r="I89" s="54"/>
      <c r="J89" s="172"/>
      <c r="K89" s="173"/>
      <c r="L89" s="13"/>
      <c r="M89" s="13"/>
    </row>
    <row r="90" spans="1:13">
      <c r="A90" s="220" t="s">
        <v>217</v>
      </c>
      <c r="B90" s="221"/>
      <c r="C90" s="221"/>
      <c r="D90" s="221"/>
      <c r="E90" s="222"/>
      <c r="F90" s="13"/>
      <c r="G90" s="13"/>
      <c r="H90" s="13"/>
      <c r="I90" s="49"/>
      <c r="J90" s="14"/>
      <c r="K90" s="105"/>
      <c r="L90" s="13"/>
      <c r="M90" s="13"/>
    </row>
    <row r="91" spans="1:13">
      <c r="A91" s="64"/>
      <c r="B91" s="175"/>
      <c r="C91" s="165" t="s">
        <v>94</v>
      </c>
      <c r="D91" s="271" t="s">
        <v>95</v>
      </c>
      <c r="E91" s="272"/>
      <c r="G91" s="13"/>
      <c r="H91" s="13"/>
      <c r="I91" s="49"/>
      <c r="J91" s="14"/>
      <c r="K91" s="105"/>
      <c r="L91" s="13"/>
      <c r="M91" s="13"/>
    </row>
    <row r="92" spans="1:13">
      <c r="A92" s="79"/>
      <c r="B92" s="79"/>
      <c r="C92" s="79"/>
      <c r="D92" s="178"/>
      <c r="E92" s="177" t="s">
        <v>98</v>
      </c>
      <c r="G92" s="13"/>
      <c r="I92" s="49"/>
      <c r="J92" s="14"/>
      <c r="K92" s="105"/>
      <c r="L92" s="13"/>
      <c r="M92" s="13"/>
    </row>
    <row r="93" spans="1:13">
      <c r="A93" s="38" t="s">
        <v>215</v>
      </c>
      <c r="B93" s="176" t="s">
        <v>102</v>
      </c>
      <c r="C93" s="37">
        <v>16.48</v>
      </c>
      <c r="D93" s="25">
        <v>2000</v>
      </c>
      <c r="E93" s="31">
        <v>93.1</v>
      </c>
      <c r="G93" s="13"/>
      <c r="H93" s="13"/>
      <c r="I93" s="49"/>
      <c r="J93" s="14"/>
      <c r="K93" s="105"/>
      <c r="L93" s="13"/>
      <c r="M93" s="13"/>
    </row>
    <row r="94" spans="1:13">
      <c r="A94" s="30" t="s">
        <v>215</v>
      </c>
      <c r="B94" s="13" t="s">
        <v>99</v>
      </c>
      <c r="C94" s="168">
        <f>C93/100*(100+E95)</f>
        <v>20.268098818474758</v>
      </c>
      <c r="D94" s="25">
        <v>2010</v>
      </c>
      <c r="E94" s="31">
        <v>114.5</v>
      </c>
      <c r="G94" s="13"/>
      <c r="H94" s="13"/>
      <c r="I94" s="49"/>
      <c r="J94" s="14"/>
      <c r="K94" s="105"/>
      <c r="L94" s="13"/>
      <c r="M94" s="13"/>
    </row>
    <row r="95" spans="1:13">
      <c r="A95" s="33"/>
      <c r="B95" s="15"/>
      <c r="C95" s="34"/>
      <c r="D95" s="26" t="s">
        <v>276</v>
      </c>
      <c r="E95" s="166">
        <f>(100/E93*E94)-100</f>
        <v>22.986036519871107</v>
      </c>
      <c r="G95" s="13"/>
      <c r="H95" s="13"/>
      <c r="I95" s="49"/>
      <c r="J95" s="14"/>
      <c r="K95" s="105"/>
      <c r="L95" s="13"/>
      <c r="M95" s="13"/>
    </row>
    <row r="96" spans="1:13">
      <c r="A96" s="275" t="s">
        <v>216</v>
      </c>
      <c r="B96" s="275"/>
      <c r="C96" s="275"/>
      <c r="D96" s="275"/>
      <c r="E96" s="275"/>
      <c r="F96" s="127"/>
      <c r="G96" s="13"/>
      <c r="H96" s="13"/>
      <c r="I96" s="49"/>
      <c r="J96" s="14"/>
      <c r="K96" s="105"/>
      <c r="L96" s="13"/>
      <c r="M96" s="13"/>
    </row>
    <row r="97" spans="1:14">
      <c r="A97" s="98" t="s">
        <v>105</v>
      </c>
      <c r="B97" s="13"/>
      <c r="C97" s="13"/>
      <c r="D97" s="13"/>
      <c r="E97" s="13"/>
      <c r="F97" s="127"/>
      <c r="G97" s="13"/>
      <c r="H97" s="13"/>
      <c r="I97" s="49"/>
      <c r="J97" s="14"/>
      <c r="K97" s="105"/>
      <c r="L97" s="13"/>
      <c r="M97" s="13"/>
    </row>
    <row r="98" spans="1:14">
      <c r="A98" s="273" t="s">
        <v>278</v>
      </c>
      <c r="B98" s="273"/>
      <c r="C98" s="273"/>
      <c r="D98" s="273"/>
      <c r="E98" s="273"/>
      <c r="F98" s="13"/>
      <c r="G98" s="13"/>
      <c r="H98" s="13"/>
      <c r="I98" s="13"/>
      <c r="J98" s="13"/>
      <c r="K98" s="13"/>
      <c r="L98" s="13"/>
      <c r="M98" s="13"/>
    </row>
    <row r="99" spans="1:14" ht="41.25" customHeight="1">
      <c r="A99" s="274" t="s">
        <v>106</v>
      </c>
      <c r="B99" s="274"/>
      <c r="C99" s="274"/>
      <c r="D99" s="274"/>
      <c r="E99" s="274"/>
      <c r="F99" s="46"/>
      <c r="G99" s="46"/>
      <c r="H99" s="13"/>
      <c r="I99" s="13"/>
      <c r="J99" s="13"/>
      <c r="K99" s="13"/>
      <c r="L99" s="13"/>
      <c r="M99" s="13"/>
    </row>
    <row r="100" spans="1:14">
      <c r="A100" s="118"/>
      <c r="B100" s="46"/>
      <c r="C100" s="46"/>
      <c r="D100" s="46"/>
      <c r="E100" s="46"/>
      <c r="F100" s="46"/>
      <c r="G100" s="46"/>
      <c r="H100" s="13"/>
      <c r="I100" s="13"/>
      <c r="J100" s="13"/>
      <c r="K100" s="13"/>
      <c r="L100" s="13"/>
    </row>
    <row r="101" spans="1:14">
      <c r="A101" s="118"/>
      <c r="B101" s="46"/>
      <c r="C101" s="46"/>
      <c r="D101" s="46"/>
      <c r="E101" s="46"/>
      <c r="F101" s="46"/>
      <c r="G101" s="46"/>
      <c r="H101" s="13"/>
      <c r="I101" s="13"/>
      <c r="J101" s="13"/>
      <c r="K101" s="13"/>
      <c r="L101" s="13"/>
    </row>
    <row r="102" spans="1:14" ht="27.75" customHeight="1">
      <c r="A102" s="217" t="s">
        <v>107</v>
      </c>
      <c r="B102" s="218"/>
      <c r="C102" s="218"/>
      <c r="D102" s="218"/>
      <c r="E102" s="218"/>
      <c r="F102" s="218"/>
      <c r="G102" s="218"/>
      <c r="H102" s="218"/>
      <c r="I102" s="218"/>
      <c r="J102" s="218"/>
      <c r="K102" s="219"/>
      <c r="N102" s="119"/>
    </row>
    <row r="103" spans="1:14" ht="15.75" customHeight="1">
      <c r="A103" s="256" t="s">
        <v>110</v>
      </c>
      <c r="B103" s="264" t="s">
        <v>111</v>
      </c>
      <c r="C103" s="266" t="s">
        <v>112</v>
      </c>
      <c r="D103" s="260" t="s">
        <v>113</v>
      </c>
      <c r="E103" s="262" t="s">
        <v>279</v>
      </c>
      <c r="F103" s="260" t="s">
        <v>114</v>
      </c>
      <c r="G103" s="268" t="s">
        <v>115</v>
      </c>
      <c r="H103" s="270"/>
      <c r="I103" s="268" t="s">
        <v>116</v>
      </c>
      <c r="J103" s="269"/>
      <c r="K103" s="258" t="s">
        <v>280</v>
      </c>
      <c r="N103" s="119"/>
    </row>
    <row r="104" spans="1:14" ht="15.75" customHeight="1">
      <c r="A104" s="257"/>
      <c r="B104" s="265"/>
      <c r="C104" s="267"/>
      <c r="D104" s="261"/>
      <c r="E104" s="263"/>
      <c r="F104" s="261"/>
      <c r="G104" s="129" t="s">
        <v>117</v>
      </c>
      <c r="H104" s="130" t="s">
        <v>55</v>
      </c>
      <c r="I104" s="129" t="s">
        <v>117</v>
      </c>
      <c r="J104" s="130" t="s">
        <v>55</v>
      </c>
      <c r="K104" s="259"/>
      <c r="L104" s="120"/>
      <c r="N104" s="119"/>
    </row>
    <row r="105" spans="1:14" ht="18.75" customHeight="1">
      <c r="A105" s="30"/>
      <c r="B105" s="184">
        <v>40634</v>
      </c>
      <c r="C105" s="13"/>
      <c r="D105" s="46"/>
      <c r="E105" s="38"/>
      <c r="F105" s="37"/>
      <c r="G105" s="13"/>
      <c r="H105" s="13"/>
      <c r="I105" s="13"/>
      <c r="J105" s="13"/>
      <c r="K105" s="121"/>
      <c r="N105" s="119"/>
    </row>
    <row r="106" spans="1:14">
      <c r="A106" s="30"/>
      <c r="B106" s="184">
        <f>B105+1</f>
        <v>40635</v>
      </c>
      <c r="C106" s="13" t="s">
        <v>118</v>
      </c>
      <c r="D106" s="46" t="s">
        <v>119</v>
      </c>
      <c r="E106" s="30">
        <v>30</v>
      </c>
      <c r="F106" s="31">
        <v>5</v>
      </c>
      <c r="G106" s="13">
        <f>F106*E106</f>
        <v>150</v>
      </c>
      <c r="H106" s="13"/>
      <c r="I106" s="13"/>
      <c r="J106" s="13"/>
      <c r="K106" s="121">
        <f>SUM(G106:J106)</f>
        <v>150</v>
      </c>
      <c r="N106" s="119"/>
    </row>
    <row r="107" spans="1:14">
      <c r="A107" s="30" t="s">
        <v>120</v>
      </c>
      <c r="B107" s="184">
        <f t="shared" ref="B107:B157" si="4">B106+1</f>
        <v>40636</v>
      </c>
      <c r="C107" s="13"/>
      <c r="D107" s="46"/>
      <c r="E107" s="30"/>
      <c r="F107" s="31"/>
      <c r="G107" s="13"/>
      <c r="H107" s="13"/>
      <c r="I107" s="13"/>
      <c r="J107" s="13"/>
      <c r="K107" s="121">
        <f t="shared" ref="K107:K170" si="5">SUM(G107:J107)</f>
        <v>0</v>
      </c>
      <c r="N107" s="119"/>
    </row>
    <row r="108" spans="1:14">
      <c r="A108" s="30" t="s">
        <v>121</v>
      </c>
      <c r="B108" s="184">
        <f t="shared" si="4"/>
        <v>40637</v>
      </c>
      <c r="C108" s="13" t="s">
        <v>122</v>
      </c>
      <c r="D108" s="46"/>
      <c r="E108" s="30">
        <v>30</v>
      </c>
      <c r="F108" s="31">
        <v>2</v>
      </c>
      <c r="G108" s="13">
        <f>F108*E108</f>
        <v>60</v>
      </c>
      <c r="H108" s="13"/>
      <c r="I108" s="13"/>
      <c r="J108" s="13"/>
      <c r="K108" s="121">
        <f t="shared" si="5"/>
        <v>60</v>
      </c>
      <c r="N108" s="119"/>
    </row>
    <row r="109" spans="1:14">
      <c r="A109" s="30" t="s">
        <v>123</v>
      </c>
      <c r="B109" s="184">
        <f t="shared" si="4"/>
        <v>40638</v>
      </c>
      <c r="C109" s="13"/>
      <c r="D109" s="46"/>
      <c r="E109" s="30"/>
      <c r="F109" s="31"/>
      <c r="G109" s="13"/>
      <c r="H109" s="13"/>
      <c r="I109" s="13"/>
      <c r="J109" s="13"/>
      <c r="K109" s="121">
        <f t="shared" si="5"/>
        <v>0</v>
      </c>
      <c r="N109" s="119"/>
    </row>
    <row r="110" spans="1:14">
      <c r="A110" s="30" t="s">
        <v>124</v>
      </c>
      <c r="B110" s="184">
        <f t="shared" si="4"/>
        <v>40639</v>
      </c>
      <c r="C110" s="13" t="s">
        <v>125</v>
      </c>
      <c r="D110" s="46" t="s">
        <v>126</v>
      </c>
      <c r="E110" s="30">
        <v>50</v>
      </c>
      <c r="F110" s="31">
        <v>5</v>
      </c>
      <c r="G110" s="13">
        <f>F110*E110</f>
        <v>250</v>
      </c>
      <c r="H110" s="13"/>
      <c r="I110" s="13"/>
      <c r="J110" s="13"/>
      <c r="K110" s="121">
        <f t="shared" si="5"/>
        <v>250</v>
      </c>
      <c r="N110" s="119"/>
    </row>
    <row r="111" spans="1:14">
      <c r="A111" s="30" t="s">
        <v>127</v>
      </c>
      <c r="B111" s="184">
        <f t="shared" si="4"/>
        <v>40640</v>
      </c>
      <c r="C111" s="13"/>
      <c r="D111" s="46"/>
      <c r="E111" s="30"/>
      <c r="F111" s="31"/>
      <c r="G111" s="13"/>
      <c r="H111" s="13"/>
      <c r="I111" s="13"/>
      <c r="J111" s="13"/>
      <c r="K111" s="121">
        <f t="shared" si="5"/>
        <v>0</v>
      </c>
      <c r="N111" s="119"/>
    </row>
    <row r="112" spans="1:14">
      <c r="A112" s="30" t="s">
        <v>128</v>
      </c>
      <c r="B112" s="184">
        <f t="shared" si="4"/>
        <v>40641</v>
      </c>
      <c r="C112" s="13"/>
      <c r="D112" s="46"/>
      <c r="E112" s="30"/>
      <c r="F112" s="31"/>
      <c r="G112" s="13"/>
      <c r="H112" s="13"/>
      <c r="I112" s="13"/>
      <c r="J112" s="13"/>
      <c r="K112" s="121">
        <f t="shared" si="5"/>
        <v>0</v>
      </c>
      <c r="N112" s="119"/>
    </row>
    <row r="113" spans="1:14">
      <c r="A113" s="30" t="s">
        <v>129</v>
      </c>
      <c r="B113" s="184">
        <f t="shared" si="4"/>
        <v>40642</v>
      </c>
      <c r="C113" s="13" t="s">
        <v>118</v>
      </c>
      <c r="D113" s="46" t="s">
        <v>119</v>
      </c>
      <c r="E113" s="30">
        <v>30</v>
      </c>
      <c r="F113" s="31">
        <v>5</v>
      </c>
      <c r="G113" s="13">
        <f>F113*E113</f>
        <v>150</v>
      </c>
      <c r="H113" s="13"/>
      <c r="I113" s="13"/>
      <c r="J113" s="13"/>
      <c r="K113" s="121">
        <f t="shared" si="5"/>
        <v>150</v>
      </c>
      <c r="N113" s="119"/>
    </row>
    <row r="114" spans="1:14">
      <c r="A114" s="30" t="s">
        <v>120</v>
      </c>
      <c r="B114" s="184">
        <f t="shared" si="4"/>
        <v>40643</v>
      </c>
      <c r="C114" s="13"/>
      <c r="D114" s="46"/>
      <c r="E114" s="30"/>
      <c r="F114" s="31"/>
      <c r="G114" s="13"/>
      <c r="H114" s="13"/>
      <c r="I114" s="13"/>
      <c r="J114" s="13"/>
      <c r="K114" s="121">
        <f t="shared" si="5"/>
        <v>0</v>
      </c>
      <c r="N114" s="119"/>
    </row>
    <row r="115" spans="1:14">
      <c r="A115" s="30" t="s">
        <v>121</v>
      </c>
      <c r="B115" s="184">
        <f t="shared" si="4"/>
        <v>40644</v>
      </c>
      <c r="C115" s="13" t="s">
        <v>122</v>
      </c>
      <c r="D115" s="46" t="s">
        <v>130</v>
      </c>
      <c r="E115" s="30">
        <v>30</v>
      </c>
      <c r="F115" s="31">
        <v>2</v>
      </c>
      <c r="G115" s="13">
        <f>F115*E115</f>
        <v>60</v>
      </c>
      <c r="H115" s="13"/>
      <c r="I115" s="13"/>
      <c r="J115" s="13"/>
      <c r="K115" s="121">
        <f t="shared" si="5"/>
        <v>60</v>
      </c>
      <c r="N115" s="119"/>
    </row>
    <row r="116" spans="1:14">
      <c r="A116" s="30" t="s">
        <v>123</v>
      </c>
      <c r="B116" s="184">
        <f t="shared" si="4"/>
        <v>40645</v>
      </c>
      <c r="C116" s="13"/>
      <c r="D116" s="46"/>
      <c r="E116" s="30"/>
      <c r="F116" s="31"/>
      <c r="G116" s="13"/>
      <c r="H116" s="13"/>
      <c r="I116" s="13"/>
      <c r="J116" s="13"/>
      <c r="K116" s="121">
        <f t="shared" si="5"/>
        <v>0</v>
      </c>
      <c r="N116" s="119"/>
    </row>
    <row r="117" spans="1:14">
      <c r="A117" s="30" t="s">
        <v>124</v>
      </c>
      <c r="B117" s="184">
        <f t="shared" si="4"/>
        <v>40646</v>
      </c>
      <c r="C117" s="13" t="s">
        <v>125</v>
      </c>
      <c r="D117" s="46" t="s">
        <v>126</v>
      </c>
      <c r="E117" s="30">
        <v>50</v>
      </c>
      <c r="F117" s="31">
        <v>5</v>
      </c>
      <c r="G117" s="13">
        <f>F117*E117</f>
        <v>250</v>
      </c>
      <c r="H117" s="13"/>
      <c r="I117" s="13"/>
      <c r="J117" s="13"/>
      <c r="K117" s="121">
        <f t="shared" si="5"/>
        <v>250</v>
      </c>
      <c r="N117" s="119"/>
    </row>
    <row r="118" spans="1:14">
      <c r="A118" s="30" t="s">
        <v>127</v>
      </c>
      <c r="B118" s="184">
        <f t="shared" si="4"/>
        <v>40647</v>
      </c>
      <c r="C118" s="13" t="s">
        <v>122</v>
      </c>
      <c r="D118" s="46" t="s">
        <v>131</v>
      </c>
      <c r="E118" s="30">
        <v>30</v>
      </c>
      <c r="F118" s="31">
        <v>2</v>
      </c>
      <c r="G118" s="13">
        <f>F118*E118</f>
        <v>60</v>
      </c>
      <c r="H118" s="13"/>
      <c r="I118" s="13"/>
      <c r="J118" s="13"/>
      <c r="K118" s="121">
        <f t="shared" si="5"/>
        <v>60</v>
      </c>
      <c r="N118" s="119"/>
    </row>
    <row r="119" spans="1:14">
      <c r="A119" s="30" t="s">
        <v>128</v>
      </c>
      <c r="B119" s="184">
        <f t="shared" si="4"/>
        <v>40648</v>
      </c>
      <c r="C119" s="13"/>
      <c r="D119" s="46"/>
      <c r="E119" s="30"/>
      <c r="F119" s="31"/>
      <c r="G119" s="13"/>
      <c r="H119" s="13"/>
      <c r="I119" s="13"/>
      <c r="J119" s="13"/>
      <c r="K119" s="121">
        <f t="shared" si="5"/>
        <v>0</v>
      </c>
      <c r="N119" s="119"/>
    </row>
    <row r="120" spans="1:14">
      <c r="A120" s="30" t="s">
        <v>129</v>
      </c>
      <c r="B120" s="184">
        <f t="shared" si="4"/>
        <v>40649</v>
      </c>
      <c r="C120" s="13" t="s">
        <v>118</v>
      </c>
      <c r="D120" s="46" t="s">
        <v>119</v>
      </c>
      <c r="E120" s="30">
        <v>30</v>
      </c>
      <c r="F120" s="31">
        <v>5</v>
      </c>
      <c r="G120" s="13">
        <f>F120*E120</f>
        <v>150</v>
      </c>
      <c r="H120" s="13"/>
      <c r="I120" s="13"/>
      <c r="J120" s="13"/>
      <c r="K120" s="121">
        <f t="shared" si="5"/>
        <v>150</v>
      </c>
      <c r="N120" s="119"/>
    </row>
    <row r="121" spans="1:14">
      <c r="A121" s="30" t="s">
        <v>120</v>
      </c>
      <c r="B121" s="184">
        <f t="shared" si="4"/>
        <v>40650</v>
      </c>
      <c r="C121" s="13"/>
      <c r="D121" s="46"/>
      <c r="E121" s="30"/>
      <c r="F121" s="31"/>
      <c r="G121" s="13"/>
      <c r="H121" s="13"/>
      <c r="I121" s="13"/>
      <c r="J121" s="13"/>
      <c r="K121" s="121">
        <f t="shared" si="5"/>
        <v>0</v>
      </c>
      <c r="N121" s="119"/>
    </row>
    <row r="122" spans="1:14">
      <c r="A122" s="30" t="s">
        <v>121</v>
      </c>
      <c r="B122" s="184">
        <f t="shared" si="4"/>
        <v>40651</v>
      </c>
      <c r="C122" s="13" t="s">
        <v>122</v>
      </c>
      <c r="D122" s="46"/>
      <c r="E122" s="30">
        <v>30</v>
      </c>
      <c r="F122" s="31">
        <v>2</v>
      </c>
      <c r="G122" s="13">
        <f>F122*E122</f>
        <v>60</v>
      </c>
      <c r="H122" s="13"/>
      <c r="I122" s="13"/>
      <c r="J122" s="13"/>
      <c r="K122" s="121">
        <f t="shared" si="5"/>
        <v>60</v>
      </c>
      <c r="N122" s="119"/>
    </row>
    <row r="123" spans="1:14">
      <c r="A123" s="30" t="s">
        <v>123</v>
      </c>
      <c r="B123" s="184">
        <f t="shared" si="4"/>
        <v>40652</v>
      </c>
      <c r="C123" s="13"/>
      <c r="D123" s="46"/>
      <c r="E123" s="30"/>
      <c r="F123" s="31"/>
      <c r="G123" s="13"/>
      <c r="H123" s="13"/>
      <c r="I123" s="13"/>
      <c r="J123" s="13"/>
      <c r="K123" s="121">
        <f t="shared" si="5"/>
        <v>0</v>
      </c>
      <c r="N123" s="119"/>
    </row>
    <row r="124" spans="1:14">
      <c r="A124" s="30" t="s">
        <v>124</v>
      </c>
      <c r="B124" s="184">
        <f t="shared" si="4"/>
        <v>40653</v>
      </c>
      <c r="C124" s="13" t="s">
        <v>125</v>
      </c>
      <c r="D124" s="46" t="s">
        <v>126</v>
      </c>
      <c r="E124" s="30">
        <v>50</v>
      </c>
      <c r="F124" s="31">
        <v>5</v>
      </c>
      <c r="G124" s="13">
        <f>F124*E124</f>
        <v>250</v>
      </c>
      <c r="H124" s="13"/>
      <c r="I124" s="13"/>
      <c r="J124" s="13"/>
      <c r="K124" s="121">
        <f t="shared" si="5"/>
        <v>250</v>
      </c>
      <c r="N124" s="119"/>
    </row>
    <row r="125" spans="1:14">
      <c r="A125" s="30" t="s">
        <v>127</v>
      </c>
      <c r="B125" s="184">
        <f t="shared" si="4"/>
        <v>40654</v>
      </c>
      <c r="C125" s="13" t="s">
        <v>122</v>
      </c>
      <c r="D125" s="46" t="s">
        <v>131</v>
      </c>
      <c r="E125" s="30">
        <v>30</v>
      </c>
      <c r="F125" s="31">
        <v>2</v>
      </c>
      <c r="G125" s="13">
        <f>F125*E125</f>
        <v>60</v>
      </c>
      <c r="H125" s="13"/>
      <c r="I125" s="13"/>
      <c r="J125" s="13"/>
      <c r="K125" s="121">
        <f t="shared" si="5"/>
        <v>60</v>
      </c>
      <c r="N125" s="119"/>
    </row>
    <row r="126" spans="1:14">
      <c r="A126" s="30" t="s">
        <v>128</v>
      </c>
      <c r="B126" s="184">
        <f t="shared" si="4"/>
        <v>40655</v>
      </c>
      <c r="C126" s="13"/>
      <c r="D126" s="46"/>
      <c r="E126" s="30"/>
      <c r="F126" s="31"/>
      <c r="G126" s="13"/>
      <c r="H126" s="13"/>
      <c r="I126" s="13"/>
      <c r="J126" s="13"/>
      <c r="K126" s="121">
        <f t="shared" si="5"/>
        <v>0</v>
      </c>
      <c r="N126" s="119"/>
    </row>
    <row r="127" spans="1:14">
      <c r="A127" s="30" t="s">
        <v>129</v>
      </c>
      <c r="B127" s="184">
        <f t="shared" si="4"/>
        <v>40656</v>
      </c>
      <c r="C127" s="13" t="s">
        <v>118</v>
      </c>
      <c r="D127" s="46" t="s">
        <v>119</v>
      </c>
      <c r="E127" s="30">
        <v>30</v>
      </c>
      <c r="F127" s="31">
        <v>5</v>
      </c>
      <c r="G127" s="13">
        <f>F127*E127</f>
        <v>150</v>
      </c>
      <c r="H127" s="13"/>
      <c r="I127" s="13"/>
      <c r="J127" s="13"/>
      <c r="K127" s="121">
        <f t="shared" si="5"/>
        <v>150</v>
      </c>
      <c r="N127" s="119"/>
    </row>
    <row r="128" spans="1:14">
      <c r="A128" s="30" t="s">
        <v>120</v>
      </c>
      <c r="B128" s="184">
        <f t="shared" si="4"/>
        <v>40657</v>
      </c>
      <c r="C128" s="13"/>
      <c r="D128" s="46"/>
      <c r="E128" s="30"/>
      <c r="F128" s="31"/>
      <c r="G128" s="13"/>
      <c r="H128" s="13"/>
      <c r="I128" s="13"/>
      <c r="J128" s="13"/>
      <c r="K128" s="121">
        <f t="shared" si="5"/>
        <v>0</v>
      </c>
      <c r="N128" s="119"/>
    </row>
    <row r="129" spans="1:14">
      <c r="A129" s="30" t="s">
        <v>121</v>
      </c>
      <c r="B129" s="184">
        <f t="shared" si="4"/>
        <v>40658</v>
      </c>
      <c r="C129" s="13" t="s">
        <v>122</v>
      </c>
      <c r="D129" s="46"/>
      <c r="E129" s="30">
        <v>30</v>
      </c>
      <c r="F129" s="31">
        <v>2</v>
      </c>
      <c r="G129" s="13">
        <f>F129*E129</f>
        <v>60</v>
      </c>
      <c r="H129" s="13"/>
      <c r="I129" s="13"/>
      <c r="J129" s="13"/>
      <c r="K129" s="121">
        <f t="shared" si="5"/>
        <v>60</v>
      </c>
      <c r="N129" s="119"/>
    </row>
    <row r="130" spans="1:14">
      <c r="A130" s="30" t="s">
        <v>123</v>
      </c>
      <c r="B130" s="184">
        <f t="shared" si="4"/>
        <v>40659</v>
      </c>
      <c r="C130" s="13"/>
      <c r="D130" s="46"/>
      <c r="E130" s="30"/>
      <c r="F130" s="31"/>
      <c r="G130" s="13"/>
      <c r="H130" s="13"/>
      <c r="I130" s="13"/>
      <c r="J130" s="13"/>
      <c r="K130" s="121">
        <f t="shared" si="5"/>
        <v>0</v>
      </c>
      <c r="N130" s="119"/>
    </row>
    <row r="131" spans="1:14">
      <c r="A131" s="30" t="s">
        <v>124</v>
      </c>
      <c r="B131" s="184">
        <f t="shared" si="4"/>
        <v>40660</v>
      </c>
      <c r="C131" s="13" t="s">
        <v>125</v>
      </c>
      <c r="D131" s="46" t="s">
        <v>126</v>
      </c>
      <c r="E131" s="30">
        <v>50</v>
      </c>
      <c r="F131" s="31">
        <v>5</v>
      </c>
      <c r="G131" s="13">
        <f>F131*E131</f>
        <v>250</v>
      </c>
      <c r="H131" s="184"/>
      <c r="I131" s="184"/>
      <c r="J131" s="13"/>
      <c r="K131" s="121">
        <f t="shared" si="5"/>
        <v>250</v>
      </c>
      <c r="N131" s="119"/>
    </row>
    <row r="132" spans="1:14">
      <c r="A132" s="30" t="s">
        <v>127</v>
      </c>
      <c r="B132" s="184">
        <f t="shared" si="4"/>
        <v>40661</v>
      </c>
      <c r="C132" s="13" t="s">
        <v>122</v>
      </c>
      <c r="D132" s="46" t="s">
        <v>131</v>
      </c>
      <c r="E132" s="30">
        <v>30</v>
      </c>
      <c r="F132" s="31">
        <v>2</v>
      </c>
      <c r="G132" s="13">
        <f>F132*E132</f>
        <v>60</v>
      </c>
      <c r="H132" s="13"/>
      <c r="I132" s="13"/>
      <c r="J132" s="13"/>
      <c r="K132" s="121">
        <f t="shared" si="5"/>
        <v>60</v>
      </c>
      <c r="N132" s="119"/>
    </row>
    <row r="133" spans="1:14">
      <c r="A133" s="30" t="s">
        <v>128</v>
      </c>
      <c r="B133" s="184">
        <f t="shared" si="4"/>
        <v>40662</v>
      </c>
      <c r="C133" s="13"/>
      <c r="D133" s="46"/>
      <c r="E133" s="30"/>
      <c r="F133" s="31"/>
      <c r="G133" s="13"/>
      <c r="H133" s="13"/>
      <c r="I133" s="13"/>
      <c r="J133" s="13"/>
      <c r="K133" s="121">
        <f t="shared" si="5"/>
        <v>0</v>
      </c>
      <c r="N133" s="119"/>
    </row>
    <row r="134" spans="1:14">
      <c r="A134" s="30" t="s">
        <v>129</v>
      </c>
      <c r="B134" s="184">
        <f>B132+1</f>
        <v>40662</v>
      </c>
      <c r="C134" s="13" t="s">
        <v>132</v>
      </c>
      <c r="D134" s="46" t="s">
        <v>133</v>
      </c>
      <c r="E134" s="30">
        <v>45</v>
      </c>
      <c r="F134" s="31">
        <v>5</v>
      </c>
      <c r="G134" s="13">
        <f>F134*E134</f>
        <v>225</v>
      </c>
      <c r="H134" s="13"/>
      <c r="I134" s="13"/>
      <c r="J134" s="13"/>
      <c r="K134" s="121">
        <f t="shared" si="5"/>
        <v>225</v>
      </c>
      <c r="N134" s="119"/>
    </row>
    <row r="135" spans="1:14">
      <c r="A135" s="30" t="s">
        <v>129</v>
      </c>
      <c r="B135" s="184">
        <f>B133+1</f>
        <v>40663</v>
      </c>
      <c r="C135" s="13" t="s">
        <v>118</v>
      </c>
      <c r="D135" s="46" t="s">
        <v>133</v>
      </c>
      <c r="E135" s="30">
        <v>50</v>
      </c>
      <c r="F135" s="31">
        <v>5</v>
      </c>
      <c r="G135" s="13">
        <f>F135*E135</f>
        <v>250</v>
      </c>
      <c r="H135" s="13"/>
      <c r="I135" s="13"/>
      <c r="J135" s="13"/>
      <c r="K135" s="121">
        <f t="shared" si="5"/>
        <v>250</v>
      </c>
      <c r="N135" s="119"/>
    </row>
    <row r="136" spans="1:14">
      <c r="A136" s="30" t="s">
        <v>120</v>
      </c>
      <c r="B136" s="184">
        <f t="shared" si="4"/>
        <v>40664</v>
      </c>
      <c r="C136" s="13" t="s">
        <v>125</v>
      </c>
      <c r="D136" s="46" t="s">
        <v>134</v>
      </c>
      <c r="E136" s="30">
        <v>20</v>
      </c>
      <c r="F136" s="31">
        <v>5</v>
      </c>
      <c r="G136" s="13">
        <f>F136*E136</f>
        <v>100</v>
      </c>
      <c r="H136" s="13"/>
      <c r="I136" s="13"/>
      <c r="J136" s="13"/>
      <c r="K136" s="121">
        <f t="shared" si="5"/>
        <v>100</v>
      </c>
      <c r="N136" s="119"/>
    </row>
    <row r="137" spans="1:14">
      <c r="A137" s="30" t="s">
        <v>121</v>
      </c>
      <c r="B137" s="184">
        <f t="shared" si="4"/>
        <v>40665</v>
      </c>
      <c r="C137" s="13" t="s">
        <v>122</v>
      </c>
      <c r="D137" s="46"/>
      <c r="E137" s="30">
        <v>30</v>
      </c>
      <c r="F137" s="31">
        <v>2</v>
      </c>
      <c r="G137" s="13">
        <f>F137*E137</f>
        <v>60</v>
      </c>
      <c r="H137" s="13"/>
      <c r="I137" s="13"/>
      <c r="J137" s="13"/>
      <c r="K137" s="121">
        <f t="shared" si="5"/>
        <v>60</v>
      </c>
      <c r="N137" s="119"/>
    </row>
    <row r="138" spans="1:14">
      <c r="A138" s="30" t="s">
        <v>123</v>
      </c>
      <c r="B138" s="184">
        <f t="shared" si="4"/>
        <v>40666</v>
      </c>
      <c r="C138" s="13"/>
      <c r="D138" s="46"/>
      <c r="E138" s="30"/>
      <c r="F138" s="31"/>
      <c r="G138" s="13"/>
      <c r="H138" s="13"/>
      <c r="I138" s="13"/>
      <c r="J138" s="13"/>
      <c r="K138" s="121">
        <f t="shared" si="5"/>
        <v>0</v>
      </c>
      <c r="N138" s="119"/>
    </row>
    <row r="139" spans="1:14">
      <c r="A139" s="30" t="s">
        <v>124</v>
      </c>
      <c r="B139" s="184">
        <f t="shared" si="4"/>
        <v>40667</v>
      </c>
      <c r="C139" s="13" t="s">
        <v>125</v>
      </c>
      <c r="D139" s="46" t="s">
        <v>126</v>
      </c>
      <c r="E139" s="30">
        <v>50</v>
      </c>
      <c r="F139" s="31">
        <v>5</v>
      </c>
      <c r="G139" s="13">
        <f t="shared" ref="G139:G146" si="6">F139*E139</f>
        <v>250</v>
      </c>
      <c r="H139" s="13"/>
      <c r="I139" s="13"/>
      <c r="J139" s="13"/>
      <c r="K139" s="121">
        <f t="shared" si="5"/>
        <v>250</v>
      </c>
      <c r="N139" s="119"/>
    </row>
    <row r="140" spans="1:14">
      <c r="A140" s="30" t="s">
        <v>127</v>
      </c>
      <c r="B140" s="184">
        <f t="shared" si="4"/>
        <v>40668</v>
      </c>
      <c r="C140" s="13" t="s">
        <v>122</v>
      </c>
      <c r="D140" s="46" t="s">
        <v>131</v>
      </c>
      <c r="E140" s="30">
        <v>30</v>
      </c>
      <c r="F140" s="31">
        <v>2</v>
      </c>
      <c r="G140" s="13">
        <f t="shared" si="6"/>
        <v>60</v>
      </c>
      <c r="H140" s="13"/>
      <c r="I140" s="13"/>
      <c r="J140" s="13"/>
      <c r="K140" s="121">
        <f t="shared" si="5"/>
        <v>60</v>
      </c>
      <c r="N140" s="119"/>
    </row>
    <row r="141" spans="1:14">
      <c r="A141" s="30" t="s">
        <v>128</v>
      </c>
      <c r="B141" s="184">
        <f>B140+1</f>
        <v>40669</v>
      </c>
      <c r="C141" s="13" t="s">
        <v>135</v>
      </c>
      <c r="D141" s="46" t="s">
        <v>136</v>
      </c>
      <c r="E141" s="30">
        <v>25</v>
      </c>
      <c r="F141" s="31">
        <v>3</v>
      </c>
      <c r="G141" s="13">
        <f t="shared" si="6"/>
        <v>75</v>
      </c>
      <c r="H141" s="13"/>
      <c r="I141" s="13"/>
      <c r="J141" s="13"/>
      <c r="K141" s="121">
        <f t="shared" si="5"/>
        <v>75</v>
      </c>
      <c r="N141" s="119"/>
    </row>
    <row r="142" spans="1:14">
      <c r="A142" s="30" t="s">
        <v>129</v>
      </c>
      <c r="B142" s="184">
        <f>B140+1</f>
        <v>40669</v>
      </c>
      <c r="C142" s="13" t="s">
        <v>132</v>
      </c>
      <c r="D142" s="46" t="s">
        <v>133</v>
      </c>
      <c r="E142" s="30">
        <v>45</v>
      </c>
      <c r="F142" s="31">
        <v>5</v>
      </c>
      <c r="G142" s="13">
        <f t="shared" si="6"/>
        <v>225</v>
      </c>
      <c r="H142" s="13"/>
      <c r="I142" s="13"/>
      <c r="J142" s="13"/>
      <c r="K142" s="121">
        <f t="shared" si="5"/>
        <v>225</v>
      </c>
      <c r="N142" s="119"/>
    </row>
    <row r="143" spans="1:14">
      <c r="A143" s="30" t="s">
        <v>129</v>
      </c>
      <c r="B143" s="184">
        <f>B141+1</f>
        <v>40670</v>
      </c>
      <c r="C143" s="13" t="s">
        <v>118</v>
      </c>
      <c r="D143" s="46" t="s">
        <v>133</v>
      </c>
      <c r="E143" s="30">
        <v>50</v>
      </c>
      <c r="F143" s="31">
        <v>5</v>
      </c>
      <c r="G143" s="13">
        <f t="shared" si="6"/>
        <v>250</v>
      </c>
      <c r="H143" s="13"/>
      <c r="I143" s="13"/>
      <c r="J143" s="13"/>
      <c r="K143" s="121">
        <f t="shared" si="5"/>
        <v>250</v>
      </c>
      <c r="N143" s="119"/>
    </row>
    <row r="144" spans="1:14">
      <c r="A144" s="30" t="s">
        <v>120</v>
      </c>
      <c r="B144" s="184">
        <f t="shared" si="4"/>
        <v>40671</v>
      </c>
      <c r="C144" s="13" t="s">
        <v>125</v>
      </c>
      <c r="D144" s="46" t="s">
        <v>134</v>
      </c>
      <c r="E144" s="30">
        <v>20</v>
      </c>
      <c r="F144" s="31">
        <v>5</v>
      </c>
      <c r="G144" s="13">
        <f t="shared" si="6"/>
        <v>100</v>
      </c>
      <c r="H144" s="13"/>
      <c r="I144" s="13"/>
      <c r="J144" s="13"/>
      <c r="K144" s="121">
        <f t="shared" si="5"/>
        <v>100</v>
      </c>
      <c r="N144" s="119"/>
    </row>
    <row r="145" spans="1:14">
      <c r="A145" s="30" t="s">
        <v>121</v>
      </c>
      <c r="B145" s="184">
        <f>B143+1</f>
        <v>40671</v>
      </c>
      <c r="C145" s="13" t="s">
        <v>122</v>
      </c>
      <c r="D145" s="46"/>
      <c r="E145" s="30">
        <v>30</v>
      </c>
      <c r="F145" s="31">
        <v>2</v>
      </c>
      <c r="G145" s="13">
        <f t="shared" si="6"/>
        <v>60</v>
      </c>
      <c r="H145" s="13"/>
      <c r="I145" s="13"/>
      <c r="J145" s="13"/>
      <c r="K145" s="121">
        <f t="shared" si="5"/>
        <v>60</v>
      </c>
      <c r="N145" s="119"/>
    </row>
    <row r="146" spans="1:14">
      <c r="A146" s="30" t="s">
        <v>121</v>
      </c>
      <c r="B146" s="184">
        <f>B144+1</f>
        <v>40672</v>
      </c>
      <c r="C146" s="13" t="s">
        <v>132</v>
      </c>
      <c r="D146" s="46" t="s">
        <v>137</v>
      </c>
      <c r="E146" s="30">
        <v>15</v>
      </c>
      <c r="F146" s="31">
        <v>5</v>
      </c>
      <c r="G146" s="13">
        <f t="shared" si="6"/>
        <v>75</v>
      </c>
      <c r="H146" s="13"/>
      <c r="I146" s="13"/>
      <c r="J146" s="13"/>
      <c r="K146" s="121">
        <f t="shared" si="5"/>
        <v>75</v>
      </c>
      <c r="N146" s="119"/>
    </row>
    <row r="147" spans="1:14">
      <c r="A147" s="30" t="s">
        <v>123</v>
      </c>
      <c r="B147" s="184">
        <f t="shared" si="4"/>
        <v>40673</v>
      </c>
      <c r="C147" s="13"/>
      <c r="D147" s="46"/>
      <c r="E147" s="30"/>
      <c r="F147" s="31"/>
      <c r="G147" s="13"/>
      <c r="H147" s="13"/>
      <c r="I147" s="13"/>
      <c r="J147" s="13"/>
      <c r="K147" s="121">
        <f t="shared" si="5"/>
        <v>0</v>
      </c>
      <c r="N147" s="119"/>
    </row>
    <row r="148" spans="1:14">
      <c r="A148" s="30" t="s">
        <v>124</v>
      </c>
      <c r="B148" s="184">
        <f t="shared" si="4"/>
        <v>40674</v>
      </c>
      <c r="C148" s="13" t="s">
        <v>125</v>
      </c>
      <c r="D148" s="46" t="s">
        <v>126</v>
      </c>
      <c r="E148" s="30">
        <v>50</v>
      </c>
      <c r="F148" s="31">
        <v>5</v>
      </c>
      <c r="G148" s="13">
        <f t="shared" ref="G148:G155" si="7">F148*E148</f>
        <v>250</v>
      </c>
      <c r="H148" s="13"/>
      <c r="I148" s="13"/>
      <c r="J148" s="13"/>
      <c r="K148" s="121">
        <f t="shared" si="5"/>
        <v>250</v>
      </c>
      <c r="N148" s="119"/>
    </row>
    <row r="149" spans="1:14">
      <c r="A149" s="30" t="s">
        <v>127</v>
      </c>
      <c r="B149" s="184">
        <f t="shared" si="4"/>
        <v>40675</v>
      </c>
      <c r="C149" s="13" t="s">
        <v>122</v>
      </c>
      <c r="D149" s="46" t="s">
        <v>131</v>
      </c>
      <c r="E149" s="30">
        <v>30</v>
      </c>
      <c r="F149" s="31">
        <v>2</v>
      </c>
      <c r="G149" s="13">
        <f t="shared" si="7"/>
        <v>60</v>
      </c>
      <c r="H149" s="13"/>
      <c r="I149" s="13"/>
      <c r="J149" s="13"/>
      <c r="K149" s="121">
        <f t="shared" si="5"/>
        <v>60</v>
      </c>
      <c r="N149" s="119"/>
    </row>
    <row r="150" spans="1:14">
      <c r="A150" s="30" t="s">
        <v>128</v>
      </c>
      <c r="B150" s="184">
        <f t="shared" si="4"/>
        <v>40676</v>
      </c>
      <c r="C150" s="13" t="s">
        <v>135</v>
      </c>
      <c r="D150" s="46" t="s">
        <v>136</v>
      </c>
      <c r="E150" s="30">
        <v>25</v>
      </c>
      <c r="F150" s="31">
        <v>3</v>
      </c>
      <c r="G150" s="13">
        <f t="shared" si="7"/>
        <v>75</v>
      </c>
      <c r="H150" s="13"/>
      <c r="I150" s="13"/>
      <c r="J150" s="13"/>
      <c r="K150" s="121">
        <f t="shared" si="5"/>
        <v>75</v>
      </c>
      <c r="N150" s="119"/>
    </row>
    <row r="151" spans="1:14">
      <c r="A151" s="30" t="s">
        <v>129</v>
      </c>
      <c r="B151" s="184">
        <f>B149+1</f>
        <v>40676</v>
      </c>
      <c r="C151" s="13" t="s">
        <v>132</v>
      </c>
      <c r="D151" s="46" t="s">
        <v>133</v>
      </c>
      <c r="E151" s="30">
        <v>45</v>
      </c>
      <c r="F151" s="31">
        <v>5</v>
      </c>
      <c r="G151" s="13">
        <f t="shared" si="7"/>
        <v>225</v>
      </c>
      <c r="H151" s="13"/>
      <c r="I151" s="13"/>
      <c r="J151" s="13"/>
      <c r="K151" s="121">
        <f t="shared" si="5"/>
        <v>225</v>
      </c>
      <c r="N151" s="119"/>
    </row>
    <row r="152" spans="1:14">
      <c r="A152" s="30" t="s">
        <v>129</v>
      </c>
      <c r="B152" s="184">
        <f>B150+1</f>
        <v>40677</v>
      </c>
      <c r="C152" s="13" t="s">
        <v>118</v>
      </c>
      <c r="D152" s="46" t="s">
        <v>133</v>
      </c>
      <c r="E152" s="30">
        <v>50</v>
      </c>
      <c r="F152" s="31">
        <v>5</v>
      </c>
      <c r="G152" s="13">
        <f t="shared" si="7"/>
        <v>250</v>
      </c>
      <c r="H152" s="13"/>
      <c r="I152" s="13"/>
      <c r="J152" s="13"/>
      <c r="K152" s="121">
        <f t="shared" si="5"/>
        <v>250</v>
      </c>
      <c r="N152" s="119"/>
    </row>
    <row r="153" spans="1:14">
      <c r="A153" s="30" t="s">
        <v>120</v>
      </c>
      <c r="B153" s="184">
        <f t="shared" si="4"/>
        <v>40678</v>
      </c>
      <c r="C153" s="13" t="s">
        <v>125</v>
      </c>
      <c r="D153" s="46" t="s">
        <v>134</v>
      </c>
      <c r="E153" s="30">
        <v>20</v>
      </c>
      <c r="F153" s="31">
        <v>5</v>
      </c>
      <c r="G153" s="13">
        <f t="shared" si="7"/>
        <v>100</v>
      </c>
      <c r="H153" s="13"/>
      <c r="I153" s="13"/>
      <c r="J153" s="13"/>
      <c r="K153" s="121">
        <f t="shared" si="5"/>
        <v>100</v>
      </c>
      <c r="N153" s="119"/>
    </row>
    <row r="154" spans="1:14">
      <c r="A154" s="30" t="s">
        <v>121</v>
      </c>
      <c r="B154" s="184">
        <f>B152+1</f>
        <v>40678</v>
      </c>
      <c r="C154" s="13" t="s">
        <v>122</v>
      </c>
      <c r="D154" s="46"/>
      <c r="E154" s="30">
        <v>30</v>
      </c>
      <c r="F154" s="31">
        <v>2</v>
      </c>
      <c r="G154" s="13">
        <f t="shared" si="7"/>
        <v>60</v>
      </c>
      <c r="H154" s="13"/>
      <c r="I154" s="13"/>
      <c r="J154" s="13"/>
      <c r="K154" s="121">
        <f t="shared" si="5"/>
        <v>60</v>
      </c>
      <c r="N154" s="119"/>
    </row>
    <row r="155" spans="1:14">
      <c r="A155" s="30" t="s">
        <v>121</v>
      </c>
      <c r="B155" s="184">
        <f>B153+1</f>
        <v>40679</v>
      </c>
      <c r="C155" s="13" t="s">
        <v>132</v>
      </c>
      <c r="D155" s="46" t="s">
        <v>137</v>
      </c>
      <c r="E155" s="30">
        <v>15</v>
      </c>
      <c r="F155" s="31">
        <v>5</v>
      </c>
      <c r="G155" s="13">
        <f t="shared" si="7"/>
        <v>75</v>
      </c>
      <c r="H155" s="13"/>
      <c r="I155" s="13"/>
      <c r="J155" s="13"/>
      <c r="K155" s="121">
        <f t="shared" si="5"/>
        <v>75</v>
      </c>
      <c r="N155" s="119"/>
    </row>
    <row r="156" spans="1:14">
      <c r="A156" s="30" t="s">
        <v>123</v>
      </c>
      <c r="B156" s="184">
        <f t="shared" si="4"/>
        <v>40680</v>
      </c>
      <c r="C156" s="13"/>
      <c r="D156" s="46"/>
      <c r="E156" s="30"/>
      <c r="F156" s="31"/>
      <c r="G156" s="13"/>
      <c r="H156" s="13"/>
      <c r="I156" s="13"/>
      <c r="J156" s="13"/>
      <c r="K156" s="121">
        <f t="shared" si="5"/>
        <v>0</v>
      </c>
      <c r="N156" s="119"/>
    </row>
    <row r="157" spans="1:14">
      <c r="A157" s="30" t="s">
        <v>124</v>
      </c>
      <c r="B157" s="184">
        <f t="shared" si="4"/>
        <v>40681</v>
      </c>
      <c r="C157" s="13" t="s">
        <v>125</v>
      </c>
      <c r="D157" s="46" t="s">
        <v>126</v>
      </c>
      <c r="E157" s="30">
        <v>50</v>
      </c>
      <c r="F157" s="31">
        <v>5</v>
      </c>
      <c r="G157" s="13">
        <f>F157*E157</f>
        <v>250</v>
      </c>
      <c r="H157" s="13"/>
      <c r="I157" s="13"/>
      <c r="J157" s="13"/>
      <c r="K157" s="121">
        <f t="shared" si="5"/>
        <v>250</v>
      </c>
      <c r="N157" s="119"/>
    </row>
    <row r="158" spans="1:14">
      <c r="A158" s="30" t="s">
        <v>127</v>
      </c>
      <c r="B158" s="184">
        <f>B156+1</f>
        <v>40681</v>
      </c>
      <c r="C158" s="13" t="s">
        <v>118</v>
      </c>
      <c r="D158" s="46" t="s">
        <v>138</v>
      </c>
      <c r="E158" s="30">
        <v>10</v>
      </c>
      <c r="F158" s="31">
        <v>3</v>
      </c>
      <c r="G158" s="103"/>
      <c r="H158" s="103">
        <f>F158*E158/4</f>
        <v>7.5</v>
      </c>
      <c r="I158" s="103"/>
      <c r="J158" s="103">
        <f>E158*F158*3/4</f>
        <v>22.5</v>
      </c>
      <c r="K158" s="121">
        <f t="shared" si="5"/>
        <v>30</v>
      </c>
      <c r="L158" s="119"/>
      <c r="N158" s="119"/>
    </row>
    <row r="159" spans="1:14">
      <c r="A159" s="30" t="s">
        <v>127</v>
      </c>
      <c r="B159" s="184">
        <f>B157+1</f>
        <v>40682</v>
      </c>
      <c r="C159" s="13" t="s">
        <v>122</v>
      </c>
      <c r="D159" s="46" t="s">
        <v>131</v>
      </c>
      <c r="E159" s="30">
        <v>30</v>
      </c>
      <c r="F159" s="31">
        <v>2</v>
      </c>
      <c r="G159" s="103">
        <f>F159*E159</f>
        <v>60</v>
      </c>
      <c r="H159" s="103"/>
      <c r="I159" s="103"/>
      <c r="J159" s="103"/>
      <c r="K159" s="121">
        <f t="shared" si="5"/>
        <v>60</v>
      </c>
      <c r="N159" s="119"/>
    </row>
    <row r="160" spans="1:14">
      <c r="A160" s="30" t="s">
        <v>128</v>
      </c>
      <c r="B160" s="184">
        <f>B159+1</f>
        <v>40683</v>
      </c>
      <c r="C160" s="13" t="s">
        <v>118</v>
      </c>
      <c r="D160" s="46" t="s">
        <v>138</v>
      </c>
      <c r="E160" s="30">
        <v>10</v>
      </c>
      <c r="F160" s="31">
        <v>3</v>
      </c>
      <c r="G160" s="103"/>
      <c r="H160" s="103">
        <f>F160*E160/4</f>
        <v>7.5</v>
      </c>
      <c r="I160" s="103"/>
      <c r="J160" s="103">
        <f>E160*F160*3/4</f>
        <v>22.5</v>
      </c>
      <c r="K160" s="121">
        <f t="shared" si="5"/>
        <v>30</v>
      </c>
      <c r="L160" s="119"/>
      <c r="N160" s="119"/>
    </row>
    <row r="161" spans="1:14">
      <c r="A161" s="30" t="s">
        <v>129</v>
      </c>
      <c r="B161" s="184">
        <f>B158+1</f>
        <v>40682</v>
      </c>
      <c r="C161" s="13" t="s">
        <v>118</v>
      </c>
      <c r="D161" s="46" t="s">
        <v>138</v>
      </c>
      <c r="E161" s="30">
        <v>10</v>
      </c>
      <c r="F161" s="31">
        <v>3</v>
      </c>
      <c r="G161" s="103"/>
      <c r="H161" s="103">
        <f>F161*E161/4</f>
        <v>7.5</v>
      </c>
      <c r="I161" s="103"/>
      <c r="J161" s="103">
        <f>E161*F161*3/4</f>
        <v>22.5</v>
      </c>
      <c r="K161" s="121">
        <f t="shared" si="5"/>
        <v>30</v>
      </c>
      <c r="L161" s="119"/>
      <c r="N161" s="119"/>
    </row>
    <row r="162" spans="1:14" ht="25.5">
      <c r="A162" s="30" t="s">
        <v>129</v>
      </c>
      <c r="B162" s="184">
        <f>B159+1</f>
        <v>40683</v>
      </c>
      <c r="C162" s="13" t="s">
        <v>118</v>
      </c>
      <c r="D162" s="46" t="s">
        <v>139</v>
      </c>
      <c r="E162" s="30">
        <v>50</v>
      </c>
      <c r="F162" s="31">
        <v>6</v>
      </c>
      <c r="G162" s="103"/>
      <c r="H162" s="103">
        <f>E162*F162/4</f>
        <v>75</v>
      </c>
      <c r="I162" s="103"/>
      <c r="J162" s="103">
        <f>E162*F162*3/4</f>
        <v>225</v>
      </c>
      <c r="K162" s="121">
        <f t="shared" si="5"/>
        <v>300</v>
      </c>
      <c r="N162" s="119"/>
    </row>
    <row r="163" spans="1:14">
      <c r="A163" s="30" t="s">
        <v>129</v>
      </c>
      <c r="B163" s="184">
        <f>B159+1</f>
        <v>40683</v>
      </c>
      <c r="C163" s="13" t="s">
        <v>132</v>
      </c>
      <c r="D163" s="46" t="s">
        <v>133</v>
      </c>
      <c r="E163" s="30">
        <v>45</v>
      </c>
      <c r="F163" s="31">
        <v>5</v>
      </c>
      <c r="G163" s="103">
        <f>F163*E163</f>
        <v>225</v>
      </c>
      <c r="H163" s="103"/>
      <c r="I163" s="103"/>
      <c r="J163" s="103"/>
      <c r="K163" s="121">
        <f t="shared" si="5"/>
        <v>225</v>
      </c>
      <c r="N163" s="119"/>
    </row>
    <row r="164" spans="1:14" ht="14.25" customHeight="1">
      <c r="A164" s="30" t="s">
        <v>129</v>
      </c>
      <c r="B164" s="184">
        <f>B160+1</f>
        <v>40684</v>
      </c>
      <c r="C164" s="13" t="s">
        <v>118</v>
      </c>
      <c r="D164" s="46" t="s">
        <v>133</v>
      </c>
      <c r="E164" s="30">
        <v>50</v>
      </c>
      <c r="F164" s="31">
        <v>5</v>
      </c>
      <c r="G164" s="103">
        <f>F164*E164</f>
        <v>250</v>
      </c>
      <c r="H164" s="103"/>
      <c r="I164" s="103"/>
      <c r="J164" s="103"/>
      <c r="K164" s="121">
        <f t="shared" si="5"/>
        <v>250</v>
      </c>
      <c r="N164" s="119"/>
    </row>
    <row r="165" spans="1:14" ht="14.25" customHeight="1">
      <c r="A165" s="30" t="s">
        <v>120</v>
      </c>
      <c r="B165" s="184">
        <f>B162+1</f>
        <v>40684</v>
      </c>
      <c r="C165" s="13"/>
      <c r="D165" s="46" t="s">
        <v>139</v>
      </c>
      <c r="E165" s="30">
        <v>50</v>
      </c>
      <c r="F165" s="31">
        <v>6</v>
      </c>
      <c r="G165" s="103"/>
      <c r="H165" s="103">
        <f>E165*F165/4</f>
        <v>75</v>
      </c>
      <c r="I165" s="103"/>
      <c r="J165" s="103">
        <f>E165*F165*3/4</f>
        <v>225</v>
      </c>
      <c r="K165" s="121">
        <f t="shared" si="5"/>
        <v>300</v>
      </c>
      <c r="N165" s="119"/>
    </row>
    <row r="166" spans="1:14">
      <c r="A166" s="30" t="s">
        <v>120</v>
      </c>
      <c r="B166" s="184">
        <f>B163+1</f>
        <v>40684</v>
      </c>
      <c r="C166" s="13" t="s">
        <v>118</v>
      </c>
      <c r="D166" s="46" t="s">
        <v>138</v>
      </c>
      <c r="E166" s="30">
        <v>10</v>
      </c>
      <c r="F166" s="31">
        <v>3</v>
      </c>
      <c r="G166" s="103"/>
      <c r="H166" s="103">
        <f>F166*E166/4</f>
        <v>7.5</v>
      </c>
      <c r="I166" s="103"/>
      <c r="J166" s="103">
        <f>E166*F166*3/4</f>
        <v>22.5</v>
      </c>
      <c r="K166" s="121">
        <f t="shared" si="5"/>
        <v>30</v>
      </c>
      <c r="L166" s="119"/>
      <c r="N166" s="119"/>
    </row>
    <row r="167" spans="1:14">
      <c r="A167" s="30" t="s">
        <v>120</v>
      </c>
      <c r="B167" s="184">
        <f>B164+1</f>
        <v>40685</v>
      </c>
      <c r="C167" s="13" t="s">
        <v>125</v>
      </c>
      <c r="D167" s="46" t="s">
        <v>134</v>
      </c>
      <c r="E167" s="30">
        <v>20</v>
      </c>
      <c r="F167" s="31">
        <v>5</v>
      </c>
      <c r="G167" s="103">
        <f>F167*E167</f>
        <v>100</v>
      </c>
      <c r="H167" s="103"/>
      <c r="I167" s="103"/>
      <c r="J167" s="103"/>
      <c r="K167" s="121">
        <f t="shared" si="5"/>
        <v>100</v>
      </c>
      <c r="N167" s="119"/>
    </row>
    <row r="168" spans="1:14">
      <c r="A168" s="30" t="s">
        <v>120</v>
      </c>
      <c r="B168" s="184">
        <f>B167+1</f>
        <v>40686</v>
      </c>
      <c r="C168" s="13" t="s">
        <v>122</v>
      </c>
      <c r="D168" s="46"/>
      <c r="E168" s="30">
        <v>30</v>
      </c>
      <c r="F168" s="31">
        <v>2</v>
      </c>
      <c r="G168" s="103">
        <f>F168*E168</f>
        <v>60</v>
      </c>
      <c r="H168" s="103"/>
      <c r="I168" s="103"/>
      <c r="J168" s="103"/>
      <c r="K168" s="121">
        <f t="shared" si="5"/>
        <v>60</v>
      </c>
      <c r="N168" s="119"/>
    </row>
    <row r="169" spans="1:14" ht="25.5">
      <c r="A169" s="30" t="s">
        <v>121</v>
      </c>
      <c r="B169" s="184">
        <f>B168+1</f>
        <v>40687</v>
      </c>
      <c r="C169" s="13" t="s">
        <v>118</v>
      </c>
      <c r="D169" s="46" t="s">
        <v>139</v>
      </c>
      <c r="E169" s="30">
        <v>50</v>
      </c>
      <c r="F169" s="31">
        <v>6</v>
      </c>
      <c r="G169" s="103"/>
      <c r="H169" s="103">
        <f>E169*F169/4</f>
        <v>75</v>
      </c>
      <c r="I169" s="103"/>
      <c r="J169" s="103">
        <f>E169*F169*3/4</f>
        <v>225</v>
      </c>
      <c r="K169" s="121">
        <f t="shared" si="5"/>
        <v>300</v>
      </c>
      <c r="N169" s="119"/>
    </row>
    <row r="170" spans="1:14">
      <c r="A170" s="30" t="s">
        <v>121</v>
      </c>
      <c r="B170" s="184">
        <f>B166+1</f>
        <v>40685</v>
      </c>
      <c r="C170" s="13" t="s">
        <v>118</v>
      </c>
      <c r="D170" s="46" t="s">
        <v>138</v>
      </c>
      <c r="E170" s="30">
        <v>10</v>
      </c>
      <c r="F170" s="31">
        <v>3</v>
      </c>
      <c r="G170" s="103"/>
      <c r="H170" s="103">
        <f>F170*E170/4</f>
        <v>7.5</v>
      </c>
      <c r="I170" s="103"/>
      <c r="J170" s="103">
        <f>E170*F170*3/4</f>
        <v>22.5</v>
      </c>
      <c r="K170" s="121">
        <f t="shared" si="5"/>
        <v>30</v>
      </c>
      <c r="L170" s="119"/>
      <c r="N170" s="119"/>
    </row>
    <row r="171" spans="1:14">
      <c r="A171" s="30" t="s">
        <v>121</v>
      </c>
      <c r="B171" s="184">
        <f>B167+1</f>
        <v>40686</v>
      </c>
      <c r="C171" s="13" t="s">
        <v>132</v>
      </c>
      <c r="D171" s="46" t="s">
        <v>137</v>
      </c>
      <c r="E171" s="30">
        <v>15</v>
      </c>
      <c r="F171" s="31">
        <v>5</v>
      </c>
      <c r="G171" s="103">
        <f>F171*E171</f>
        <v>75</v>
      </c>
      <c r="H171" s="103"/>
      <c r="I171" s="103"/>
      <c r="J171" s="103"/>
      <c r="K171" s="121">
        <f t="shared" ref="K171:K245" si="8">SUM(G171:J171)</f>
        <v>75</v>
      </c>
      <c r="N171" s="119"/>
    </row>
    <row r="172" spans="1:14">
      <c r="A172" s="30" t="s">
        <v>123</v>
      </c>
      <c r="B172" s="184">
        <f t="shared" ref="B172:B186" si="9">B171+1</f>
        <v>40687</v>
      </c>
      <c r="C172" s="13"/>
      <c r="D172" s="46"/>
      <c r="E172" s="30"/>
      <c r="F172" s="31"/>
      <c r="G172" s="103"/>
      <c r="H172" s="103"/>
      <c r="I172" s="103"/>
      <c r="J172" s="103"/>
      <c r="K172" s="121">
        <f t="shared" si="8"/>
        <v>0</v>
      </c>
      <c r="N172" s="119"/>
    </row>
    <row r="173" spans="1:14">
      <c r="A173" s="30" t="s">
        <v>124</v>
      </c>
      <c r="B173" s="184">
        <f t="shared" si="9"/>
        <v>40688</v>
      </c>
      <c r="C173" s="13" t="s">
        <v>125</v>
      </c>
      <c r="D173" s="46" t="s">
        <v>126</v>
      </c>
      <c r="E173" s="30">
        <v>50</v>
      </c>
      <c r="F173" s="31">
        <v>5</v>
      </c>
      <c r="G173" s="103">
        <f>F173*E173</f>
        <v>250</v>
      </c>
      <c r="H173" s="103"/>
      <c r="I173" s="103"/>
      <c r="J173" s="103"/>
      <c r="K173" s="121">
        <f t="shared" si="8"/>
        <v>250</v>
      </c>
      <c r="N173" s="119"/>
    </row>
    <row r="174" spans="1:14">
      <c r="A174" s="30" t="s">
        <v>127</v>
      </c>
      <c r="B174" s="184">
        <f t="shared" si="9"/>
        <v>40689</v>
      </c>
      <c r="C174" s="13" t="s">
        <v>122</v>
      </c>
      <c r="D174" s="46" t="s">
        <v>131</v>
      </c>
      <c r="E174" s="30">
        <v>30</v>
      </c>
      <c r="F174" s="31">
        <v>2</v>
      </c>
      <c r="G174" s="103">
        <f>F174*E174</f>
        <v>60</v>
      </c>
      <c r="H174" s="103"/>
      <c r="I174" s="103"/>
      <c r="J174" s="103"/>
      <c r="K174" s="121">
        <f t="shared" si="8"/>
        <v>60</v>
      </c>
      <c r="N174" s="119"/>
    </row>
    <row r="175" spans="1:14">
      <c r="A175" s="30" t="s">
        <v>128</v>
      </c>
      <c r="B175" s="184">
        <f t="shared" si="9"/>
        <v>40690</v>
      </c>
      <c r="C175" s="13" t="s">
        <v>140</v>
      </c>
      <c r="D175" s="46" t="s">
        <v>141</v>
      </c>
      <c r="E175" s="30">
        <v>30</v>
      </c>
      <c r="F175" s="31">
        <v>4</v>
      </c>
      <c r="G175" s="103">
        <f>((E175*F175)/2)*9%</f>
        <v>5.3999999999999995</v>
      </c>
      <c r="H175" s="103">
        <f>((E175*F175)/2)*91%</f>
        <v>54.6</v>
      </c>
      <c r="I175" s="103">
        <f>((E175*F175)/2)*9%</f>
        <v>5.3999999999999995</v>
      </c>
      <c r="J175" s="103">
        <f>((E175*F175)/2)*91%</f>
        <v>54.6</v>
      </c>
      <c r="K175" s="121">
        <f t="shared" si="8"/>
        <v>120</v>
      </c>
      <c r="L175" s="119"/>
      <c r="N175" s="119"/>
    </row>
    <row r="176" spans="1:14">
      <c r="A176" s="30" t="s">
        <v>129</v>
      </c>
      <c r="B176" s="184">
        <f>B175+1</f>
        <v>40691</v>
      </c>
      <c r="C176" s="13" t="s">
        <v>140</v>
      </c>
      <c r="D176" s="46" t="s">
        <v>141</v>
      </c>
      <c r="E176" s="30">
        <v>30</v>
      </c>
      <c r="F176" s="31">
        <v>4</v>
      </c>
      <c r="G176" s="103">
        <f>((E176*F176)/2)*9%</f>
        <v>5.3999999999999995</v>
      </c>
      <c r="H176" s="103">
        <f>((E176*F176)/2)*91%</f>
        <v>54.6</v>
      </c>
      <c r="I176" s="103">
        <f>((E176*F176)/2)*9%</f>
        <v>5.3999999999999995</v>
      </c>
      <c r="J176" s="103">
        <f>((E176*F176)/2)*91%</f>
        <v>54.6</v>
      </c>
      <c r="K176" s="121">
        <f t="shared" si="8"/>
        <v>120</v>
      </c>
      <c r="L176" s="119"/>
      <c r="N176" s="119"/>
    </row>
    <row r="177" spans="1:14">
      <c r="A177" s="30" t="s">
        <v>129</v>
      </c>
      <c r="B177" s="184">
        <f>B176</f>
        <v>40691</v>
      </c>
      <c r="C177" s="13" t="s">
        <v>122</v>
      </c>
      <c r="D177" s="46" t="s">
        <v>142</v>
      </c>
      <c r="E177" s="30">
        <v>45</v>
      </c>
      <c r="F177" s="31">
        <v>2</v>
      </c>
      <c r="G177" s="103">
        <f>E177*F177/4</f>
        <v>22.5</v>
      </c>
      <c r="H177" s="103">
        <f>E177*F177*3/4</f>
        <v>67.5</v>
      </c>
      <c r="I177" s="103"/>
      <c r="J177" s="103"/>
      <c r="K177" s="121">
        <f t="shared" si="8"/>
        <v>90</v>
      </c>
      <c r="N177" s="119"/>
    </row>
    <row r="178" spans="1:14">
      <c r="A178" s="30" t="s">
        <v>129</v>
      </c>
      <c r="B178" s="184">
        <f>B175+1</f>
        <v>40691</v>
      </c>
      <c r="C178" s="13" t="s">
        <v>132</v>
      </c>
      <c r="D178" s="46" t="s">
        <v>133</v>
      </c>
      <c r="E178" s="30">
        <v>45</v>
      </c>
      <c r="F178" s="31">
        <v>5</v>
      </c>
      <c r="G178" s="103">
        <f>F178*E178</f>
        <v>225</v>
      </c>
      <c r="H178" s="103"/>
      <c r="I178" s="103"/>
      <c r="J178" s="103"/>
      <c r="K178" s="121">
        <f t="shared" si="8"/>
        <v>225</v>
      </c>
      <c r="N178" s="119"/>
    </row>
    <row r="179" spans="1:14">
      <c r="A179" s="30" t="s">
        <v>129</v>
      </c>
      <c r="B179" s="184">
        <f>B176</f>
        <v>40691</v>
      </c>
      <c r="C179" s="13" t="s">
        <v>118</v>
      </c>
      <c r="D179" s="46" t="s">
        <v>133</v>
      </c>
      <c r="E179" s="30">
        <v>50</v>
      </c>
      <c r="F179" s="31">
        <v>5</v>
      </c>
      <c r="G179" s="103">
        <f>F179*E179</f>
        <v>250</v>
      </c>
      <c r="H179" s="103"/>
      <c r="I179" s="103"/>
      <c r="J179" s="103"/>
      <c r="K179" s="121">
        <f t="shared" si="8"/>
        <v>250</v>
      </c>
      <c r="N179" s="119"/>
    </row>
    <row r="180" spans="1:14">
      <c r="A180" s="30" t="s">
        <v>120</v>
      </c>
      <c r="B180" s="184">
        <f>B179+1</f>
        <v>40692</v>
      </c>
      <c r="C180" s="13" t="s">
        <v>140</v>
      </c>
      <c r="D180" s="46" t="s">
        <v>141</v>
      </c>
      <c r="E180" s="30">
        <v>30</v>
      </c>
      <c r="F180" s="31">
        <v>4</v>
      </c>
      <c r="G180" s="103">
        <f>((E180*F180)/2)*9%</f>
        <v>5.3999999999999995</v>
      </c>
      <c r="H180" s="103">
        <f>((E180*F180)/2)*91%</f>
        <v>54.6</v>
      </c>
      <c r="I180" s="103">
        <f>((E180*F180)/2)*9%</f>
        <v>5.3999999999999995</v>
      </c>
      <c r="J180" s="103">
        <f>((E180*F180)/2)*91%</f>
        <v>54.6</v>
      </c>
      <c r="K180" s="121">
        <f t="shared" si="8"/>
        <v>120</v>
      </c>
      <c r="L180" s="119"/>
      <c r="N180" s="119"/>
    </row>
    <row r="181" spans="1:14">
      <c r="A181" s="30" t="s">
        <v>120</v>
      </c>
      <c r="B181" s="184">
        <f>B180</f>
        <v>40692</v>
      </c>
      <c r="C181" s="13" t="s">
        <v>122</v>
      </c>
      <c r="D181" s="46" t="s">
        <v>142</v>
      </c>
      <c r="E181" s="30">
        <v>45</v>
      </c>
      <c r="F181" s="31">
        <v>2</v>
      </c>
      <c r="G181" s="103">
        <f>E181*F181/4</f>
        <v>22.5</v>
      </c>
      <c r="H181" s="103">
        <f>E181*F181*3/4</f>
        <v>67.5</v>
      </c>
      <c r="I181" s="103"/>
      <c r="J181" s="103"/>
      <c r="K181" s="121">
        <f t="shared" si="8"/>
        <v>90</v>
      </c>
      <c r="N181" s="119"/>
    </row>
    <row r="182" spans="1:14">
      <c r="A182" s="30" t="s">
        <v>120</v>
      </c>
      <c r="B182" s="184">
        <f>B179+1</f>
        <v>40692</v>
      </c>
      <c r="C182" s="13" t="s">
        <v>125</v>
      </c>
      <c r="D182" s="46" t="s">
        <v>134</v>
      </c>
      <c r="E182" s="30">
        <v>20</v>
      </c>
      <c r="F182" s="31">
        <v>5</v>
      </c>
      <c r="G182" s="13">
        <f>F182*E182</f>
        <v>100</v>
      </c>
      <c r="H182" s="13"/>
      <c r="I182" s="13"/>
      <c r="J182" s="13"/>
      <c r="K182" s="121">
        <f t="shared" si="8"/>
        <v>100</v>
      </c>
      <c r="N182" s="119"/>
    </row>
    <row r="183" spans="1:14">
      <c r="A183" s="30" t="s">
        <v>121</v>
      </c>
      <c r="B183" s="184">
        <f>B182+1</f>
        <v>40693</v>
      </c>
      <c r="C183" s="13" t="s">
        <v>135</v>
      </c>
      <c r="D183" s="46" t="s">
        <v>143</v>
      </c>
      <c r="E183" s="30">
        <v>15</v>
      </c>
      <c r="F183" s="31">
        <v>6</v>
      </c>
      <c r="G183" s="13">
        <f>F183*E183</f>
        <v>90</v>
      </c>
      <c r="H183" s="13"/>
      <c r="I183" s="13"/>
      <c r="J183" s="13"/>
      <c r="K183" s="121">
        <f t="shared" si="8"/>
        <v>90</v>
      </c>
      <c r="N183" s="119"/>
    </row>
    <row r="184" spans="1:14">
      <c r="A184" s="30" t="s">
        <v>121</v>
      </c>
      <c r="B184" s="184">
        <f>B183</f>
        <v>40693</v>
      </c>
      <c r="C184" s="13" t="s">
        <v>122</v>
      </c>
      <c r="D184" s="46" t="s">
        <v>142</v>
      </c>
      <c r="E184" s="30">
        <v>45</v>
      </c>
      <c r="F184" s="31">
        <v>2</v>
      </c>
      <c r="G184" s="13">
        <f>E184*F184/4</f>
        <v>22.5</v>
      </c>
      <c r="H184" s="13">
        <f>E184*F184*3/4</f>
        <v>67.5</v>
      </c>
      <c r="I184" s="13"/>
      <c r="J184" s="13"/>
      <c r="K184" s="121">
        <f t="shared" si="8"/>
        <v>90</v>
      </c>
      <c r="N184" s="119"/>
    </row>
    <row r="185" spans="1:14">
      <c r="A185" s="30" t="s">
        <v>121</v>
      </c>
      <c r="B185" s="184">
        <f>B182+1</f>
        <v>40693</v>
      </c>
      <c r="C185" s="13" t="s">
        <v>132</v>
      </c>
      <c r="D185" s="46" t="s">
        <v>137</v>
      </c>
      <c r="E185" s="30">
        <v>15</v>
      </c>
      <c r="F185" s="31">
        <v>5</v>
      </c>
      <c r="G185" s="13">
        <f>F185*E185</f>
        <v>75</v>
      </c>
      <c r="H185" s="13"/>
      <c r="I185" s="13"/>
      <c r="J185" s="13"/>
      <c r="K185" s="121">
        <f t="shared" si="8"/>
        <v>75</v>
      </c>
      <c r="N185" s="119"/>
    </row>
    <row r="186" spans="1:14">
      <c r="A186" s="30" t="s">
        <v>123</v>
      </c>
      <c r="B186" s="184">
        <f t="shared" si="9"/>
        <v>40694</v>
      </c>
      <c r="C186" s="13" t="s">
        <v>122</v>
      </c>
      <c r="D186" s="46" t="s">
        <v>144</v>
      </c>
      <c r="E186" s="30">
        <v>85</v>
      </c>
      <c r="F186" s="31">
        <v>2</v>
      </c>
      <c r="G186" s="13">
        <f>F186*E186*0.2</f>
        <v>34</v>
      </c>
      <c r="H186" s="13">
        <f>E186*F186*0.8</f>
        <v>136</v>
      </c>
      <c r="I186" s="13"/>
      <c r="J186" s="13"/>
      <c r="K186" s="121">
        <f t="shared" si="8"/>
        <v>170</v>
      </c>
      <c r="N186" s="119"/>
    </row>
    <row r="187" spans="1:14">
      <c r="A187" s="30" t="s">
        <v>124</v>
      </c>
      <c r="B187" s="184">
        <f>B186+1</f>
        <v>40695</v>
      </c>
      <c r="C187" s="13" t="s">
        <v>122</v>
      </c>
      <c r="D187" s="46" t="s">
        <v>144</v>
      </c>
      <c r="E187" s="30">
        <v>85</v>
      </c>
      <c r="F187" s="31">
        <v>2</v>
      </c>
      <c r="G187" s="13">
        <f>F187*E187*0.2</f>
        <v>34</v>
      </c>
      <c r="H187" s="13">
        <f>E187*F187*0.8</f>
        <v>136</v>
      </c>
      <c r="I187" s="13"/>
      <c r="J187" s="13"/>
      <c r="K187" s="121">
        <f t="shared" ref="K187" si="10">SUM(G187:J187)</f>
        <v>170</v>
      </c>
      <c r="N187" s="119"/>
    </row>
    <row r="188" spans="1:14">
      <c r="A188" s="30" t="s">
        <v>124</v>
      </c>
      <c r="B188" s="184">
        <f>B186+1</f>
        <v>40695</v>
      </c>
      <c r="C188" s="13" t="s">
        <v>125</v>
      </c>
      <c r="D188" s="46" t="s">
        <v>126</v>
      </c>
      <c r="E188" s="30">
        <v>50</v>
      </c>
      <c r="F188" s="31">
        <v>5</v>
      </c>
      <c r="G188" s="13">
        <f>F188*E188</f>
        <v>250</v>
      </c>
      <c r="H188" s="13"/>
      <c r="I188" s="13"/>
      <c r="J188" s="13"/>
      <c r="K188" s="121">
        <f t="shared" si="8"/>
        <v>250</v>
      </c>
      <c r="N188" s="119"/>
    </row>
    <row r="189" spans="1:14">
      <c r="A189" s="30" t="s">
        <v>127</v>
      </c>
      <c r="B189" s="184">
        <f>B188+1</f>
        <v>40696</v>
      </c>
      <c r="C189" s="13" t="s">
        <v>122</v>
      </c>
      <c r="D189" s="46" t="s">
        <v>144</v>
      </c>
      <c r="E189" s="30">
        <v>85</v>
      </c>
      <c r="F189" s="31">
        <v>2</v>
      </c>
      <c r="G189" s="13">
        <f>F189*E189*0.2</f>
        <v>34</v>
      </c>
      <c r="H189" s="13">
        <f>E189*F189*0.8</f>
        <v>136</v>
      </c>
      <c r="I189" s="13"/>
      <c r="J189" s="13"/>
      <c r="K189" s="121">
        <f t="shared" ref="K189" si="11">SUM(G189:J189)</f>
        <v>170</v>
      </c>
      <c r="N189" s="119"/>
    </row>
    <row r="190" spans="1:14">
      <c r="A190" s="30" t="s">
        <v>127</v>
      </c>
      <c r="B190" s="184">
        <f>B188+1</f>
        <v>40696</v>
      </c>
      <c r="C190" s="13" t="s">
        <v>122</v>
      </c>
      <c r="D190" s="46" t="s">
        <v>131</v>
      </c>
      <c r="E190" s="30">
        <v>30</v>
      </c>
      <c r="F190" s="31">
        <v>2</v>
      </c>
      <c r="G190" s="13">
        <f>F190*E190</f>
        <v>60</v>
      </c>
      <c r="H190" s="13"/>
      <c r="I190" s="13"/>
      <c r="J190" s="13"/>
      <c r="K190" s="121">
        <f t="shared" si="8"/>
        <v>60</v>
      </c>
      <c r="N190" s="119"/>
    </row>
    <row r="191" spans="1:14">
      <c r="A191" s="30" t="s">
        <v>128</v>
      </c>
      <c r="B191" s="184">
        <f>B189+1</f>
        <v>40697</v>
      </c>
      <c r="C191" s="13" t="s">
        <v>122</v>
      </c>
      <c r="D191" s="46" t="s">
        <v>144</v>
      </c>
      <c r="E191" s="30">
        <v>85</v>
      </c>
      <c r="F191" s="31">
        <v>2</v>
      </c>
      <c r="G191" s="13">
        <f>F191*E191*0.2</f>
        <v>34</v>
      </c>
      <c r="H191" s="13">
        <f>E191*F191*0.8</f>
        <v>136</v>
      </c>
      <c r="I191" s="13"/>
      <c r="J191" s="13"/>
      <c r="K191" s="121">
        <f t="shared" ref="K191:K193" si="12">SUM(G191:J191)</f>
        <v>170</v>
      </c>
      <c r="N191" s="119"/>
    </row>
    <row r="192" spans="1:14">
      <c r="A192" s="30" t="s">
        <v>128</v>
      </c>
      <c r="B192" s="184">
        <f>B190+1</f>
        <v>40697</v>
      </c>
      <c r="C192" s="13" t="s">
        <v>122</v>
      </c>
      <c r="D192" s="46" t="s">
        <v>144</v>
      </c>
      <c r="E192" s="30">
        <v>85</v>
      </c>
      <c r="F192" s="31">
        <v>2</v>
      </c>
      <c r="G192" s="13">
        <f>F192*E192*0.2</f>
        <v>34</v>
      </c>
      <c r="H192" s="13">
        <f>E192*F192*0.8</f>
        <v>136</v>
      </c>
      <c r="I192" s="13"/>
      <c r="J192" s="13"/>
      <c r="K192" s="121">
        <f t="shared" si="12"/>
        <v>170</v>
      </c>
      <c r="N192" s="119"/>
    </row>
    <row r="193" spans="1:14">
      <c r="A193" s="30" t="s">
        <v>129</v>
      </c>
      <c r="B193" s="184">
        <f>B192+1</f>
        <v>40698</v>
      </c>
      <c r="C193" s="13" t="s">
        <v>122</v>
      </c>
      <c r="D193" s="46" t="s">
        <v>145</v>
      </c>
      <c r="E193" s="30">
        <v>40</v>
      </c>
      <c r="F193" s="31">
        <v>1</v>
      </c>
      <c r="G193" s="13">
        <f>F193*E193*0.2</f>
        <v>8</v>
      </c>
      <c r="H193" s="13">
        <f>E193*F193*0.8</f>
        <v>32</v>
      </c>
      <c r="I193" s="13"/>
      <c r="J193" s="13"/>
      <c r="K193" s="121">
        <f t="shared" si="12"/>
        <v>40</v>
      </c>
      <c r="N193" s="119"/>
    </row>
    <row r="194" spans="1:14">
      <c r="A194" s="30" t="s">
        <v>129</v>
      </c>
      <c r="B194" s="184">
        <f>B192+1</f>
        <v>40698</v>
      </c>
      <c r="C194" s="13" t="s">
        <v>132</v>
      </c>
      <c r="D194" s="46" t="s">
        <v>133</v>
      </c>
      <c r="E194" s="30">
        <v>45</v>
      </c>
      <c r="F194" s="31">
        <v>5</v>
      </c>
      <c r="G194" s="13">
        <f>F194*E194</f>
        <v>225</v>
      </c>
      <c r="H194" s="13"/>
      <c r="I194" s="13"/>
      <c r="J194" s="13"/>
      <c r="K194" s="121">
        <f t="shared" si="8"/>
        <v>225</v>
      </c>
      <c r="N194" s="119"/>
    </row>
    <row r="195" spans="1:14">
      <c r="A195" s="30" t="s">
        <v>129</v>
      </c>
      <c r="B195" s="184">
        <f>B192+1</f>
        <v>40698</v>
      </c>
      <c r="C195" s="13" t="s">
        <v>118</v>
      </c>
      <c r="D195" s="46" t="s">
        <v>133</v>
      </c>
      <c r="E195" s="30">
        <v>50</v>
      </c>
      <c r="F195" s="31">
        <v>5</v>
      </c>
      <c r="G195" s="13">
        <f>F195*E195</f>
        <v>250</v>
      </c>
      <c r="H195" s="13"/>
      <c r="I195" s="13"/>
      <c r="J195" s="13"/>
      <c r="K195" s="121">
        <f t="shared" si="8"/>
        <v>250</v>
      </c>
      <c r="N195" s="119"/>
    </row>
    <row r="196" spans="1:14">
      <c r="A196" s="30" t="s">
        <v>120</v>
      </c>
      <c r="B196" s="184">
        <f>B194+1</f>
        <v>40699</v>
      </c>
      <c r="C196" s="13" t="s">
        <v>122</v>
      </c>
      <c r="D196" s="46" t="s">
        <v>145</v>
      </c>
      <c r="E196" s="30">
        <v>40</v>
      </c>
      <c r="F196" s="31">
        <v>1</v>
      </c>
      <c r="G196" s="13">
        <f>F196*E196*0.2</f>
        <v>8</v>
      </c>
      <c r="H196" s="13">
        <f>E196*F196*0.8</f>
        <v>32</v>
      </c>
      <c r="I196" s="13"/>
      <c r="J196" s="13"/>
      <c r="K196" s="121">
        <f t="shared" si="8"/>
        <v>40</v>
      </c>
      <c r="N196" s="119"/>
    </row>
    <row r="197" spans="1:14" ht="25.5">
      <c r="A197" s="30" t="s">
        <v>120</v>
      </c>
      <c r="B197" s="184">
        <f>B195+1</f>
        <v>40699</v>
      </c>
      <c r="C197" s="13" t="s">
        <v>125</v>
      </c>
      <c r="D197" s="46" t="s">
        <v>146</v>
      </c>
      <c r="E197" s="30">
        <v>15</v>
      </c>
      <c r="F197" s="31">
        <v>6</v>
      </c>
      <c r="G197" s="13">
        <f>F197*E197</f>
        <v>90</v>
      </c>
      <c r="H197" s="13"/>
      <c r="I197" s="13"/>
      <c r="J197" s="13"/>
      <c r="K197" s="121">
        <f t="shared" si="8"/>
        <v>90</v>
      </c>
      <c r="N197" s="119"/>
    </row>
    <row r="198" spans="1:14">
      <c r="A198" s="30" t="s">
        <v>121</v>
      </c>
      <c r="B198" s="184">
        <f>B197+1</f>
        <v>40700</v>
      </c>
      <c r="C198" s="13" t="s">
        <v>122</v>
      </c>
      <c r="D198" s="46" t="s">
        <v>147</v>
      </c>
      <c r="E198" s="30">
        <v>30</v>
      </c>
      <c r="F198" s="31">
        <v>2</v>
      </c>
      <c r="G198" s="13">
        <f>F198*E198</f>
        <v>60</v>
      </c>
      <c r="H198" s="13"/>
      <c r="I198" s="13"/>
      <c r="J198" s="13"/>
      <c r="K198" s="121">
        <f t="shared" si="8"/>
        <v>60</v>
      </c>
      <c r="N198" s="119"/>
    </row>
    <row r="199" spans="1:14">
      <c r="A199" s="30" t="s">
        <v>121</v>
      </c>
      <c r="B199" s="184">
        <f>B197+1</f>
        <v>40700</v>
      </c>
      <c r="C199" s="13" t="s">
        <v>132</v>
      </c>
      <c r="D199" s="46" t="s">
        <v>137</v>
      </c>
      <c r="E199" s="30">
        <v>15</v>
      </c>
      <c r="F199" s="31">
        <v>5</v>
      </c>
      <c r="G199" s="13">
        <f>F199*E199</f>
        <v>75</v>
      </c>
      <c r="H199" s="13"/>
      <c r="I199" s="13"/>
      <c r="J199" s="13"/>
      <c r="K199" s="121">
        <f t="shared" si="8"/>
        <v>75</v>
      </c>
      <c r="N199" s="119"/>
    </row>
    <row r="200" spans="1:14">
      <c r="A200" s="30" t="s">
        <v>123</v>
      </c>
      <c r="B200" s="184">
        <f t="shared" ref="B200:B262" si="13">B199+1</f>
        <v>40701</v>
      </c>
      <c r="C200" s="13"/>
      <c r="D200" s="46"/>
      <c r="E200" s="30"/>
      <c r="F200" s="31"/>
      <c r="G200" s="13"/>
      <c r="H200" s="13"/>
      <c r="I200" s="13"/>
      <c r="J200" s="13"/>
      <c r="K200" s="121">
        <f t="shared" si="8"/>
        <v>0</v>
      </c>
      <c r="N200" s="119"/>
    </row>
    <row r="201" spans="1:14">
      <c r="A201" s="30" t="s">
        <v>124</v>
      </c>
      <c r="B201" s="184">
        <f t="shared" si="13"/>
        <v>40702</v>
      </c>
      <c r="C201" s="13" t="s">
        <v>125</v>
      </c>
      <c r="D201" s="46" t="s">
        <v>126</v>
      </c>
      <c r="E201" s="30">
        <v>50</v>
      </c>
      <c r="F201" s="31">
        <v>5</v>
      </c>
      <c r="G201" s="13">
        <f>F201*E201</f>
        <v>250</v>
      </c>
      <c r="H201" s="13"/>
      <c r="I201" s="13"/>
      <c r="J201" s="13"/>
      <c r="K201" s="121">
        <f t="shared" si="8"/>
        <v>250</v>
      </c>
      <c r="N201" s="119"/>
    </row>
    <row r="202" spans="1:14">
      <c r="A202" s="30" t="s">
        <v>127</v>
      </c>
      <c r="B202" s="184">
        <f t="shared" si="13"/>
        <v>40703</v>
      </c>
      <c r="C202" s="13"/>
      <c r="D202" s="46"/>
      <c r="E202" s="30"/>
      <c r="F202" s="31"/>
      <c r="G202" s="13"/>
      <c r="H202" s="13"/>
      <c r="I202" s="13"/>
      <c r="J202" s="13"/>
      <c r="K202" s="121">
        <f t="shared" si="8"/>
        <v>0</v>
      </c>
      <c r="N202" s="119"/>
    </row>
    <row r="203" spans="1:14">
      <c r="A203" s="30" t="s">
        <v>128</v>
      </c>
      <c r="B203" s="184">
        <f t="shared" si="13"/>
        <v>40704</v>
      </c>
      <c r="C203" s="13" t="s">
        <v>135</v>
      </c>
      <c r="D203" s="46" t="s">
        <v>136</v>
      </c>
      <c r="E203" s="30">
        <v>25</v>
      </c>
      <c r="F203" s="31">
        <v>3</v>
      </c>
      <c r="G203" s="13">
        <f>F203*E203</f>
        <v>75</v>
      </c>
      <c r="H203" s="13"/>
      <c r="I203" s="13"/>
      <c r="J203" s="13"/>
      <c r="K203" s="121">
        <f t="shared" ref="K203" si="14">SUM(G203:J203)</f>
        <v>75</v>
      </c>
      <c r="N203" s="119"/>
    </row>
    <row r="204" spans="1:14">
      <c r="A204" s="30" t="s">
        <v>129</v>
      </c>
      <c r="B204" s="184">
        <f>B202+1</f>
        <v>40704</v>
      </c>
      <c r="C204" s="13" t="s">
        <v>132</v>
      </c>
      <c r="D204" s="46" t="s">
        <v>133</v>
      </c>
      <c r="E204" s="30">
        <v>45</v>
      </c>
      <c r="F204" s="31">
        <v>5</v>
      </c>
      <c r="G204" s="13">
        <f>F204*E204</f>
        <v>225</v>
      </c>
      <c r="H204" s="13"/>
      <c r="I204" s="13"/>
      <c r="J204" s="13"/>
      <c r="K204" s="121">
        <f t="shared" si="8"/>
        <v>225</v>
      </c>
      <c r="N204" s="119"/>
    </row>
    <row r="205" spans="1:14">
      <c r="A205" s="30" t="s">
        <v>129</v>
      </c>
      <c r="B205" s="184">
        <f>B202+1</f>
        <v>40704</v>
      </c>
      <c r="C205" s="13" t="s">
        <v>122</v>
      </c>
      <c r="D205" s="46" t="s">
        <v>148</v>
      </c>
      <c r="E205" s="30">
        <v>25</v>
      </c>
      <c r="F205" s="31">
        <v>5</v>
      </c>
      <c r="G205" s="13">
        <f>F205*E205</f>
        <v>125</v>
      </c>
      <c r="H205" s="13"/>
      <c r="I205" s="13"/>
      <c r="J205" s="13"/>
      <c r="K205" s="121">
        <f t="shared" si="8"/>
        <v>125</v>
      </c>
      <c r="N205" s="119"/>
    </row>
    <row r="206" spans="1:14">
      <c r="A206" s="30" t="s">
        <v>129</v>
      </c>
      <c r="B206" s="184">
        <f>B203+1</f>
        <v>40705</v>
      </c>
      <c r="C206" s="13" t="s">
        <v>118</v>
      </c>
      <c r="D206" s="46" t="s">
        <v>149</v>
      </c>
      <c r="E206" s="30">
        <v>40</v>
      </c>
      <c r="F206" s="31">
        <v>1</v>
      </c>
      <c r="G206" s="148"/>
      <c r="H206" s="148">
        <f>E206*F206/4</f>
        <v>10</v>
      </c>
      <c r="I206" s="148"/>
      <c r="J206" s="148">
        <f>E206*F206*3/4</f>
        <v>30</v>
      </c>
      <c r="K206" s="122">
        <f t="shared" si="8"/>
        <v>40</v>
      </c>
      <c r="L206" s="119"/>
      <c r="N206" s="119"/>
    </row>
    <row r="207" spans="1:14">
      <c r="A207" s="30" t="s">
        <v>129</v>
      </c>
      <c r="B207" s="184">
        <f>B203+1</f>
        <v>40705</v>
      </c>
      <c r="C207" s="13" t="s">
        <v>118</v>
      </c>
      <c r="D207" s="46" t="s">
        <v>133</v>
      </c>
      <c r="E207" s="30">
        <v>50</v>
      </c>
      <c r="F207" s="31">
        <v>5</v>
      </c>
      <c r="G207" s="148">
        <f>F207*E207</f>
        <v>250</v>
      </c>
      <c r="H207" s="148"/>
      <c r="I207" s="148"/>
      <c r="J207" s="148"/>
      <c r="K207" s="122">
        <f t="shared" si="8"/>
        <v>250</v>
      </c>
      <c r="N207" s="119"/>
    </row>
    <row r="208" spans="1:14">
      <c r="A208" s="30" t="s">
        <v>120</v>
      </c>
      <c r="B208" s="184">
        <f>B207+1</f>
        <v>40706</v>
      </c>
      <c r="C208" s="13" t="s">
        <v>118</v>
      </c>
      <c r="D208" s="46" t="s">
        <v>149</v>
      </c>
      <c r="E208" s="30">
        <v>40</v>
      </c>
      <c r="F208" s="31">
        <v>1</v>
      </c>
      <c r="G208" s="148"/>
      <c r="H208" s="148">
        <f>E208*F208/4</f>
        <v>10</v>
      </c>
      <c r="I208" s="148"/>
      <c r="J208" s="148">
        <f>E208*F208*3/4</f>
        <v>30</v>
      </c>
      <c r="K208" s="122">
        <f t="shared" si="8"/>
        <v>40</v>
      </c>
      <c r="L208" s="119"/>
      <c r="N208" s="119"/>
    </row>
    <row r="209" spans="1:14">
      <c r="A209" s="30" t="s">
        <v>120</v>
      </c>
      <c r="B209" s="184">
        <f>B207+1</f>
        <v>40706</v>
      </c>
      <c r="C209" s="13" t="s">
        <v>122</v>
      </c>
      <c r="D209" s="46" t="s">
        <v>150</v>
      </c>
      <c r="E209" s="30">
        <v>35</v>
      </c>
      <c r="F209" s="31">
        <v>2</v>
      </c>
      <c r="G209" s="148">
        <f>E209*F209/4</f>
        <v>17.5</v>
      </c>
      <c r="H209" s="148">
        <f>E209*F209*3/4</f>
        <v>52.5</v>
      </c>
      <c r="I209" s="148"/>
      <c r="J209" s="148"/>
      <c r="K209" s="122">
        <f t="shared" si="8"/>
        <v>70</v>
      </c>
      <c r="L209" s="119"/>
      <c r="N209" s="119"/>
    </row>
    <row r="210" spans="1:14">
      <c r="A210" s="30" t="s">
        <v>120</v>
      </c>
      <c r="B210" s="184">
        <f>B207+1</f>
        <v>40706</v>
      </c>
      <c r="C210" s="13" t="s">
        <v>122</v>
      </c>
      <c r="D210" s="46" t="s">
        <v>148</v>
      </c>
      <c r="E210" s="30">
        <v>25</v>
      </c>
      <c r="F210" s="31">
        <v>5</v>
      </c>
      <c r="G210" s="13">
        <f>F210*E210</f>
        <v>125</v>
      </c>
      <c r="H210" s="13"/>
      <c r="I210" s="13"/>
      <c r="J210" s="13"/>
      <c r="K210" s="121">
        <f t="shared" si="8"/>
        <v>125</v>
      </c>
      <c r="N210" s="119"/>
    </row>
    <row r="211" spans="1:14">
      <c r="A211" s="30" t="s">
        <v>120</v>
      </c>
      <c r="B211" s="184">
        <f>B207+1</f>
        <v>40706</v>
      </c>
      <c r="C211" s="13" t="s">
        <v>125</v>
      </c>
      <c r="D211" s="46" t="s">
        <v>151</v>
      </c>
      <c r="E211" s="30">
        <v>40</v>
      </c>
      <c r="F211" s="31">
        <v>2</v>
      </c>
      <c r="G211" s="13">
        <f>F211*E211</f>
        <v>80</v>
      </c>
      <c r="H211" s="13"/>
      <c r="I211" s="13"/>
      <c r="J211" s="13"/>
      <c r="K211" s="121">
        <f t="shared" si="8"/>
        <v>80</v>
      </c>
      <c r="N211" s="119"/>
    </row>
    <row r="212" spans="1:14">
      <c r="A212" s="30" t="s">
        <v>120</v>
      </c>
      <c r="B212" s="184">
        <f>B207+1</f>
        <v>40706</v>
      </c>
      <c r="C212" s="13" t="s">
        <v>152</v>
      </c>
      <c r="D212" s="46" t="s">
        <v>153</v>
      </c>
      <c r="E212" s="30">
        <v>70</v>
      </c>
      <c r="F212" s="31">
        <v>5</v>
      </c>
      <c r="G212" s="13">
        <f>F212*E212</f>
        <v>350</v>
      </c>
      <c r="H212" s="13"/>
      <c r="I212" s="13"/>
      <c r="J212" s="13"/>
      <c r="K212" s="121">
        <f t="shared" si="8"/>
        <v>350</v>
      </c>
      <c r="N212" s="119"/>
    </row>
    <row r="213" spans="1:14">
      <c r="A213" s="30" t="s">
        <v>121</v>
      </c>
      <c r="B213" s="184">
        <f>B211+1</f>
        <v>40707</v>
      </c>
      <c r="C213" s="13" t="s">
        <v>122</v>
      </c>
      <c r="D213" s="46" t="s">
        <v>154</v>
      </c>
      <c r="E213" s="30">
        <v>40</v>
      </c>
      <c r="F213" s="31">
        <v>2</v>
      </c>
      <c r="G213" s="13">
        <f>F213*E213</f>
        <v>80</v>
      </c>
      <c r="H213" s="13"/>
      <c r="I213" s="13"/>
      <c r="J213" s="13"/>
      <c r="K213" s="121">
        <f t="shared" si="8"/>
        <v>80</v>
      </c>
      <c r="N213" s="119"/>
    </row>
    <row r="214" spans="1:14">
      <c r="A214" s="30" t="s">
        <v>121</v>
      </c>
      <c r="B214" s="184">
        <f>B212+1</f>
        <v>40707</v>
      </c>
      <c r="C214" s="13" t="s">
        <v>132</v>
      </c>
      <c r="D214" s="46" t="s">
        <v>155</v>
      </c>
      <c r="E214" s="30">
        <v>60</v>
      </c>
      <c r="F214" s="31">
        <v>6</v>
      </c>
      <c r="G214" s="13">
        <f>F214*E214/2</f>
        <v>180</v>
      </c>
      <c r="H214" s="13">
        <f>(E214*F214)/2</f>
        <v>180</v>
      </c>
      <c r="I214" s="13"/>
      <c r="J214" s="13"/>
      <c r="K214" s="121">
        <f t="shared" si="8"/>
        <v>360</v>
      </c>
      <c r="L214" s="119"/>
      <c r="N214" s="119"/>
    </row>
    <row r="215" spans="1:14">
      <c r="A215" s="30" t="s">
        <v>123</v>
      </c>
      <c r="B215" s="184">
        <f t="shared" si="13"/>
        <v>40708</v>
      </c>
      <c r="C215" s="13"/>
      <c r="D215" s="46"/>
      <c r="E215" s="30"/>
      <c r="F215" s="31"/>
      <c r="G215" s="13"/>
      <c r="H215" s="13"/>
      <c r="I215" s="13"/>
      <c r="J215" s="13"/>
      <c r="K215" s="121">
        <f t="shared" si="8"/>
        <v>0</v>
      </c>
      <c r="N215" s="119"/>
    </row>
    <row r="216" spans="1:14">
      <c r="A216" s="30" t="s">
        <v>124</v>
      </c>
      <c r="B216" s="184">
        <f t="shared" si="13"/>
        <v>40709</v>
      </c>
      <c r="C216" s="13" t="s">
        <v>125</v>
      </c>
      <c r="D216" s="46" t="s">
        <v>126</v>
      </c>
      <c r="E216" s="30">
        <v>50</v>
      </c>
      <c r="F216" s="31">
        <v>5</v>
      </c>
      <c r="G216" s="13">
        <f>F216*E216</f>
        <v>250</v>
      </c>
      <c r="H216" s="13"/>
      <c r="I216" s="13"/>
      <c r="J216" s="13"/>
      <c r="K216" s="121">
        <f t="shared" si="8"/>
        <v>250</v>
      </c>
      <c r="N216" s="119"/>
    </row>
    <row r="217" spans="1:14">
      <c r="A217" s="30" t="s">
        <v>127</v>
      </c>
      <c r="B217" s="184">
        <f t="shared" si="13"/>
        <v>40710</v>
      </c>
      <c r="C217" s="13"/>
      <c r="D217" s="46"/>
      <c r="E217" s="30"/>
      <c r="F217" s="31"/>
      <c r="G217" s="13"/>
      <c r="H217" s="13"/>
      <c r="I217" s="13"/>
      <c r="J217" s="13"/>
      <c r="K217" s="121">
        <f t="shared" si="8"/>
        <v>0</v>
      </c>
      <c r="N217" s="119"/>
    </row>
    <row r="218" spans="1:14">
      <c r="A218" s="30" t="s">
        <v>128</v>
      </c>
      <c r="B218" s="184">
        <f t="shared" si="13"/>
        <v>40711</v>
      </c>
      <c r="C218" s="13" t="s">
        <v>135</v>
      </c>
      <c r="D218" s="46" t="s">
        <v>136</v>
      </c>
      <c r="E218" s="30">
        <v>25</v>
      </c>
      <c r="F218" s="31">
        <v>3</v>
      </c>
      <c r="G218" s="13">
        <f t="shared" ref="G218:G225" si="15">F218*E218</f>
        <v>75</v>
      </c>
      <c r="H218" s="13"/>
      <c r="I218" s="13"/>
      <c r="J218" s="13"/>
      <c r="K218" s="121">
        <f t="shared" ref="K218" si="16">SUM(G218:J218)</f>
        <v>75</v>
      </c>
      <c r="N218" s="119"/>
    </row>
    <row r="219" spans="1:14">
      <c r="A219" s="30" t="s">
        <v>129</v>
      </c>
      <c r="B219" s="184">
        <f>B217+1</f>
        <v>40711</v>
      </c>
      <c r="C219" s="13" t="s">
        <v>132</v>
      </c>
      <c r="D219" s="46" t="s">
        <v>133</v>
      </c>
      <c r="E219" s="30">
        <v>45</v>
      </c>
      <c r="F219" s="31">
        <v>5</v>
      </c>
      <c r="G219" s="13">
        <f t="shared" si="15"/>
        <v>225</v>
      </c>
      <c r="H219" s="13"/>
      <c r="I219" s="13"/>
      <c r="J219" s="13"/>
      <c r="K219" s="121">
        <f t="shared" si="8"/>
        <v>225</v>
      </c>
      <c r="N219" s="119"/>
    </row>
    <row r="220" spans="1:14">
      <c r="A220" s="30" t="s">
        <v>129</v>
      </c>
      <c r="B220" s="184">
        <f>B218+1</f>
        <v>40712</v>
      </c>
      <c r="C220" s="13" t="s">
        <v>118</v>
      </c>
      <c r="D220" s="46" t="s">
        <v>133</v>
      </c>
      <c r="E220" s="30">
        <v>50</v>
      </c>
      <c r="F220" s="31">
        <v>5</v>
      </c>
      <c r="G220" s="13">
        <f t="shared" si="15"/>
        <v>250</v>
      </c>
      <c r="H220" s="13"/>
      <c r="I220" s="13"/>
      <c r="J220" s="13"/>
      <c r="K220" s="121">
        <f t="shared" si="8"/>
        <v>250</v>
      </c>
      <c r="N220" s="119"/>
    </row>
    <row r="221" spans="1:14" ht="25.5">
      <c r="A221" s="30" t="s">
        <v>120</v>
      </c>
      <c r="B221" s="184">
        <f t="shared" si="13"/>
        <v>40713</v>
      </c>
      <c r="C221" s="13" t="s">
        <v>125</v>
      </c>
      <c r="D221" s="46" t="s">
        <v>156</v>
      </c>
      <c r="E221" s="30">
        <v>15</v>
      </c>
      <c r="F221" s="31">
        <v>6</v>
      </c>
      <c r="G221" s="13">
        <f t="shared" si="15"/>
        <v>90</v>
      </c>
      <c r="H221" s="13"/>
      <c r="I221" s="13"/>
      <c r="J221" s="13"/>
      <c r="K221" s="121">
        <f t="shared" si="8"/>
        <v>90</v>
      </c>
      <c r="N221" s="119"/>
    </row>
    <row r="222" spans="1:14">
      <c r="A222" s="30" t="s">
        <v>121</v>
      </c>
      <c r="B222" s="184">
        <f>B220+1</f>
        <v>40713</v>
      </c>
      <c r="C222" s="13" t="s">
        <v>122</v>
      </c>
      <c r="D222" s="46" t="s">
        <v>154</v>
      </c>
      <c r="E222" s="30">
        <v>40</v>
      </c>
      <c r="F222" s="31">
        <v>2</v>
      </c>
      <c r="G222" s="13">
        <f t="shared" si="15"/>
        <v>80</v>
      </c>
      <c r="H222" s="13"/>
      <c r="I222" s="13"/>
      <c r="J222" s="13"/>
      <c r="K222" s="121">
        <f t="shared" si="8"/>
        <v>80</v>
      </c>
      <c r="N222" s="119"/>
    </row>
    <row r="223" spans="1:14">
      <c r="A223" s="30" t="s">
        <v>121</v>
      </c>
      <c r="B223" s="184">
        <f>B221+1</f>
        <v>40714</v>
      </c>
      <c r="C223" s="13" t="s">
        <v>132</v>
      </c>
      <c r="D223" s="46" t="s">
        <v>137</v>
      </c>
      <c r="E223" s="30">
        <v>15</v>
      </c>
      <c r="F223" s="31">
        <v>5</v>
      </c>
      <c r="G223" s="13">
        <f t="shared" si="15"/>
        <v>75</v>
      </c>
      <c r="H223" s="13"/>
      <c r="I223" s="13"/>
      <c r="J223" s="13"/>
      <c r="K223" s="121">
        <f t="shared" si="8"/>
        <v>75</v>
      </c>
      <c r="N223" s="119"/>
    </row>
    <row r="224" spans="1:14" ht="25.5">
      <c r="A224" s="30" t="s">
        <v>124</v>
      </c>
      <c r="B224" s="184">
        <f>B223+2</f>
        <v>40716</v>
      </c>
      <c r="C224" s="13" t="s">
        <v>125</v>
      </c>
      <c r="D224" s="46" t="s">
        <v>157</v>
      </c>
      <c r="E224" s="30">
        <v>15</v>
      </c>
      <c r="F224" s="31">
        <v>6</v>
      </c>
      <c r="G224" s="13">
        <f t="shared" si="15"/>
        <v>90</v>
      </c>
      <c r="H224" s="13"/>
      <c r="I224" s="13"/>
      <c r="J224" s="13"/>
      <c r="K224" s="121">
        <f t="shared" si="8"/>
        <v>90</v>
      </c>
      <c r="N224" s="119"/>
    </row>
    <row r="225" spans="1:14">
      <c r="A225" s="30" t="s">
        <v>124</v>
      </c>
      <c r="B225" s="184">
        <f>B224</f>
        <v>40716</v>
      </c>
      <c r="C225" s="13" t="s">
        <v>125</v>
      </c>
      <c r="D225" s="46" t="s">
        <v>126</v>
      </c>
      <c r="E225" s="30">
        <v>50</v>
      </c>
      <c r="F225" s="31">
        <v>5</v>
      </c>
      <c r="G225" s="13">
        <f t="shared" si="15"/>
        <v>250</v>
      </c>
      <c r="H225" s="13"/>
      <c r="I225" s="13"/>
      <c r="J225" s="13"/>
      <c r="K225" s="121">
        <f t="shared" si="8"/>
        <v>250</v>
      </c>
      <c r="N225" s="119"/>
    </row>
    <row r="226" spans="1:14">
      <c r="A226" s="30" t="s">
        <v>127</v>
      </c>
      <c r="B226" s="184">
        <f t="shared" si="13"/>
        <v>40717</v>
      </c>
      <c r="C226" s="13"/>
      <c r="D226" s="46"/>
      <c r="E226" s="30"/>
      <c r="F226" s="31"/>
      <c r="G226" s="13"/>
      <c r="H226" s="13"/>
      <c r="I226" s="13"/>
      <c r="J226" s="13"/>
      <c r="K226" s="121">
        <f t="shared" si="8"/>
        <v>0</v>
      </c>
      <c r="N226" s="119"/>
    </row>
    <row r="227" spans="1:14">
      <c r="A227" s="30" t="s">
        <v>128</v>
      </c>
      <c r="B227" s="184">
        <f t="shared" si="13"/>
        <v>40718</v>
      </c>
      <c r="C227" s="13" t="s">
        <v>135</v>
      </c>
      <c r="D227" s="46" t="s">
        <v>136</v>
      </c>
      <c r="E227" s="30">
        <v>25</v>
      </c>
      <c r="F227" s="31">
        <v>3</v>
      </c>
      <c r="G227" s="13">
        <f t="shared" ref="G227:G233" si="17">F227*E227</f>
        <v>75</v>
      </c>
      <c r="H227" s="13"/>
      <c r="I227" s="13"/>
      <c r="J227" s="13"/>
      <c r="K227" s="121">
        <f>SUM(G227:J227)</f>
        <v>75</v>
      </c>
      <c r="N227" s="119"/>
    </row>
    <row r="228" spans="1:14">
      <c r="A228" s="30" t="s">
        <v>129</v>
      </c>
      <c r="B228" s="184">
        <f>B226+1</f>
        <v>40718</v>
      </c>
      <c r="C228" s="13" t="s">
        <v>132</v>
      </c>
      <c r="D228" s="46" t="s">
        <v>133</v>
      </c>
      <c r="E228" s="30">
        <v>45</v>
      </c>
      <c r="F228" s="31">
        <v>5</v>
      </c>
      <c r="G228" s="13">
        <f t="shared" si="17"/>
        <v>225</v>
      </c>
      <c r="H228" s="13"/>
      <c r="I228" s="13"/>
      <c r="J228" s="13"/>
      <c r="K228" s="121">
        <f>SUM(G228:J228)</f>
        <v>225</v>
      </c>
      <c r="N228" s="119"/>
    </row>
    <row r="229" spans="1:14">
      <c r="A229" s="30" t="s">
        <v>129</v>
      </c>
      <c r="B229" s="184">
        <f>B227+1</f>
        <v>40719</v>
      </c>
      <c r="C229" s="13" t="s">
        <v>118</v>
      </c>
      <c r="D229" s="46" t="s">
        <v>158</v>
      </c>
      <c r="E229" s="30">
        <v>60</v>
      </c>
      <c r="F229" s="31">
        <v>5</v>
      </c>
      <c r="G229" s="13">
        <f t="shared" si="17"/>
        <v>300</v>
      </c>
      <c r="H229" s="13"/>
      <c r="I229" s="13"/>
      <c r="J229" s="13"/>
      <c r="K229" s="121">
        <f t="shared" si="8"/>
        <v>300</v>
      </c>
      <c r="N229" s="119"/>
    </row>
    <row r="230" spans="1:14" ht="25.5">
      <c r="A230" s="30" t="s">
        <v>120</v>
      </c>
      <c r="B230" s="184">
        <f>B231</f>
        <v>40720</v>
      </c>
      <c r="C230" s="13" t="s">
        <v>135</v>
      </c>
      <c r="D230" s="46" t="s">
        <v>159</v>
      </c>
      <c r="E230" s="30">
        <v>18</v>
      </c>
      <c r="F230" s="31">
        <v>6</v>
      </c>
      <c r="G230" s="13">
        <f t="shared" si="17"/>
        <v>108</v>
      </c>
      <c r="H230" s="13"/>
      <c r="I230" s="13"/>
      <c r="J230" s="13"/>
      <c r="K230" s="121">
        <f t="shared" si="8"/>
        <v>108</v>
      </c>
      <c r="N230" s="119"/>
    </row>
    <row r="231" spans="1:14">
      <c r="A231" s="30" t="s">
        <v>120</v>
      </c>
      <c r="B231" s="184">
        <f>B229+1</f>
        <v>40720</v>
      </c>
      <c r="C231" s="13" t="s">
        <v>125</v>
      </c>
      <c r="D231" s="46" t="s">
        <v>134</v>
      </c>
      <c r="E231" s="30">
        <v>20</v>
      </c>
      <c r="F231" s="31">
        <v>5</v>
      </c>
      <c r="G231" s="13">
        <f t="shared" si="17"/>
        <v>100</v>
      </c>
      <c r="H231" s="13"/>
      <c r="I231" s="13"/>
      <c r="J231" s="13"/>
      <c r="K231" s="121">
        <f t="shared" si="8"/>
        <v>100</v>
      </c>
      <c r="N231" s="119"/>
    </row>
    <row r="232" spans="1:14">
      <c r="A232" s="30" t="s">
        <v>121</v>
      </c>
      <c r="B232" s="184">
        <f>B229+1</f>
        <v>40720</v>
      </c>
      <c r="C232" s="13" t="s">
        <v>122</v>
      </c>
      <c r="D232" s="46" t="s">
        <v>154</v>
      </c>
      <c r="E232" s="30">
        <v>40</v>
      </c>
      <c r="F232" s="31">
        <v>2</v>
      </c>
      <c r="G232" s="13">
        <f t="shared" si="17"/>
        <v>80</v>
      </c>
      <c r="H232" s="13"/>
      <c r="I232" s="13"/>
      <c r="J232" s="13"/>
      <c r="K232" s="121">
        <f t="shared" si="8"/>
        <v>80</v>
      </c>
      <c r="N232" s="119"/>
    </row>
    <row r="233" spans="1:14">
      <c r="A233" s="30" t="s">
        <v>121</v>
      </c>
      <c r="B233" s="184">
        <f>B231+1</f>
        <v>40721</v>
      </c>
      <c r="C233" s="13" t="s">
        <v>132</v>
      </c>
      <c r="D233" s="46" t="s">
        <v>137</v>
      </c>
      <c r="E233" s="30">
        <v>15</v>
      </c>
      <c r="F233" s="31">
        <v>5</v>
      </c>
      <c r="G233" s="13">
        <f t="shared" si="17"/>
        <v>75</v>
      </c>
      <c r="H233" s="13"/>
      <c r="I233" s="13"/>
      <c r="J233" s="13"/>
      <c r="K233" s="121">
        <f t="shared" si="8"/>
        <v>75</v>
      </c>
      <c r="N233" s="119"/>
    </row>
    <row r="234" spans="1:14">
      <c r="A234" s="30" t="s">
        <v>123</v>
      </c>
      <c r="B234" s="184">
        <f t="shared" si="13"/>
        <v>40722</v>
      </c>
      <c r="C234" s="13" t="s">
        <v>122</v>
      </c>
      <c r="D234" s="46" t="s">
        <v>160</v>
      </c>
      <c r="E234" s="30">
        <v>50</v>
      </c>
      <c r="F234" s="31">
        <v>2</v>
      </c>
      <c r="G234" s="13"/>
      <c r="H234" s="13">
        <f>E234*F234</f>
        <v>100</v>
      </c>
      <c r="I234" s="13"/>
      <c r="J234" s="13"/>
      <c r="K234" s="121">
        <f>SUM(G234:J234)</f>
        <v>100</v>
      </c>
      <c r="L234" s="119"/>
      <c r="N234" s="119"/>
    </row>
    <row r="235" spans="1:14">
      <c r="A235" s="30" t="s">
        <v>124</v>
      </c>
      <c r="B235" s="184">
        <f t="shared" si="13"/>
        <v>40723</v>
      </c>
      <c r="C235" s="13" t="s">
        <v>125</v>
      </c>
      <c r="D235" s="46" t="s">
        <v>126</v>
      </c>
      <c r="E235" s="30">
        <v>50</v>
      </c>
      <c r="F235" s="31">
        <v>5</v>
      </c>
      <c r="G235" s="13">
        <f>F235*E235</f>
        <v>250</v>
      </c>
      <c r="H235" s="13"/>
      <c r="I235" s="13"/>
      <c r="J235" s="13"/>
      <c r="K235" s="121">
        <f t="shared" si="8"/>
        <v>250</v>
      </c>
      <c r="N235" s="119"/>
    </row>
    <row r="236" spans="1:14">
      <c r="A236" s="30" t="s">
        <v>127</v>
      </c>
      <c r="B236" s="184">
        <f t="shared" si="13"/>
        <v>40724</v>
      </c>
      <c r="C236" s="13"/>
      <c r="D236" s="46"/>
      <c r="E236" s="30"/>
      <c r="F236" s="31"/>
      <c r="G236" s="13"/>
      <c r="H236" s="13"/>
      <c r="I236" s="13"/>
      <c r="J236" s="13"/>
      <c r="K236" s="121">
        <f>SUM(G236:J236)</f>
        <v>0</v>
      </c>
      <c r="N236" s="119"/>
    </row>
    <row r="237" spans="1:14">
      <c r="A237" s="30" t="s">
        <v>128</v>
      </c>
      <c r="B237" s="184">
        <f t="shared" si="13"/>
        <v>40725</v>
      </c>
      <c r="C237" s="13" t="s">
        <v>135</v>
      </c>
      <c r="D237" s="46" t="s">
        <v>136</v>
      </c>
      <c r="E237" s="30">
        <v>25</v>
      </c>
      <c r="F237" s="31">
        <v>3</v>
      </c>
      <c r="G237" s="13">
        <f t="shared" ref="G237:G242" si="18">F237*E237</f>
        <v>75</v>
      </c>
      <c r="H237" s="13"/>
      <c r="I237" s="13"/>
      <c r="J237" s="13"/>
      <c r="K237" s="121">
        <f>SUM(G237:J237)</f>
        <v>75</v>
      </c>
      <c r="N237" s="119"/>
    </row>
    <row r="238" spans="1:14">
      <c r="A238" s="30" t="s">
        <v>129</v>
      </c>
      <c r="B238" s="184">
        <f>B236+1</f>
        <v>40725</v>
      </c>
      <c r="C238" s="13" t="s">
        <v>132</v>
      </c>
      <c r="D238" s="46" t="s">
        <v>133</v>
      </c>
      <c r="E238" s="30">
        <v>45</v>
      </c>
      <c r="F238" s="31">
        <v>5</v>
      </c>
      <c r="G238" s="13">
        <f t="shared" si="18"/>
        <v>225</v>
      </c>
      <c r="H238" s="13"/>
      <c r="I238" s="13"/>
      <c r="J238" s="13"/>
      <c r="K238" s="121">
        <f t="shared" si="8"/>
        <v>225</v>
      </c>
      <c r="N238" s="119"/>
    </row>
    <row r="239" spans="1:14">
      <c r="A239" s="30" t="s">
        <v>129</v>
      </c>
      <c r="B239" s="184">
        <f>B237+1</f>
        <v>40726</v>
      </c>
      <c r="C239" s="13" t="s">
        <v>118</v>
      </c>
      <c r="D239" s="46" t="s">
        <v>133</v>
      </c>
      <c r="E239" s="30">
        <v>50</v>
      </c>
      <c r="F239" s="31">
        <v>5</v>
      </c>
      <c r="G239" s="13">
        <f t="shared" si="18"/>
        <v>250</v>
      </c>
      <c r="H239" s="13"/>
      <c r="I239" s="13"/>
      <c r="J239" s="13"/>
      <c r="K239" s="121">
        <f t="shared" si="8"/>
        <v>250</v>
      </c>
      <c r="N239" s="119"/>
    </row>
    <row r="240" spans="1:14">
      <c r="A240" s="30" t="s">
        <v>120</v>
      </c>
      <c r="B240" s="184">
        <f t="shared" si="13"/>
        <v>40727</v>
      </c>
      <c r="C240" s="13" t="s">
        <v>152</v>
      </c>
      <c r="D240" s="46" t="s">
        <v>161</v>
      </c>
      <c r="E240" s="30">
        <v>70</v>
      </c>
      <c r="F240" s="31">
        <v>5</v>
      </c>
      <c r="G240" s="13">
        <f t="shared" si="18"/>
        <v>350</v>
      </c>
      <c r="H240" s="13"/>
      <c r="I240" s="13"/>
      <c r="J240" s="13"/>
      <c r="K240" s="121">
        <f t="shared" si="8"/>
        <v>350</v>
      </c>
      <c r="N240" s="119"/>
    </row>
    <row r="241" spans="1:14">
      <c r="A241" s="30" t="s">
        <v>121</v>
      </c>
      <c r="B241" s="184">
        <f>B239+1</f>
        <v>40727</v>
      </c>
      <c r="C241" s="13" t="s">
        <v>122</v>
      </c>
      <c r="D241" s="46" t="s">
        <v>154</v>
      </c>
      <c r="E241" s="30">
        <v>40</v>
      </c>
      <c r="F241" s="31">
        <v>2</v>
      </c>
      <c r="G241" s="13">
        <f t="shared" si="18"/>
        <v>80</v>
      </c>
      <c r="H241" s="13"/>
      <c r="I241" s="13"/>
      <c r="J241" s="13"/>
      <c r="K241" s="121">
        <f t="shared" si="8"/>
        <v>80</v>
      </c>
      <c r="N241" s="119"/>
    </row>
    <row r="242" spans="1:14">
      <c r="A242" s="30" t="s">
        <v>121</v>
      </c>
      <c r="B242" s="184">
        <f>B240+1</f>
        <v>40728</v>
      </c>
      <c r="C242" s="13" t="s">
        <v>132</v>
      </c>
      <c r="D242" s="46" t="s">
        <v>137</v>
      </c>
      <c r="E242" s="30">
        <v>15</v>
      </c>
      <c r="F242" s="31">
        <v>5</v>
      </c>
      <c r="G242" s="13">
        <f t="shared" si="18"/>
        <v>75</v>
      </c>
      <c r="H242" s="13"/>
      <c r="I242" s="13"/>
      <c r="J242" s="13"/>
      <c r="K242" s="121">
        <f t="shared" si="8"/>
        <v>75</v>
      </c>
      <c r="N242" s="119"/>
    </row>
    <row r="243" spans="1:14">
      <c r="A243" s="30" t="s">
        <v>123</v>
      </c>
      <c r="B243" s="184">
        <f t="shared" si="13"/>
        <v>40729</v>
      </c>
      <c r="C243" s="13"/>
      <c r="D243" s="46"/>
      <c r="E243" s="30"/>
      <c r="F243" s="31"/>
      <c r="G243" s="13"/>
      <c r="H243" s="13"/>
      <c r="I243" s="13"/>
      <c r="J243" s="13"/>
      <c r="K243" s="121">
        <f t="shared" si="8"/>
        <v>0</v>
      </c>
      <c r="N243" s="119"/>
    </row>
    <row r="244" spans="1:14" ht="25.5">
      <c r="A244" s="30" t="s">
        <v>124</v>
      </c>
      <c r="B244" s="184">
        <f t="shared" si="13"/>
        <v>40730</v>
      </c>
      <c r="C244" s="13" t="s">
        <v>125</v>
      </c>
      <c r="D244" s="46" t="s">
        <v>162</v>
      </c>
      <c r="E244" s="30">
        <v>70</v>
      </c>
      <c r="F244" s="31">
        <v>5</v>
      </c>
      <c r="G244" s="13">
        <f>F244*E244</f>
        <v>350</v>
      </c>
      <c r="H244" s="13"/>
      <c r="I244" s="13"/>
      <c r="J244" s="13"/>
      <c r="K244" s="121">
        <f t="shared" si="8"/>
        <v>350</v>
      </c>
      <c r="N244" s="119"/>
    </row>
    <row r="245" spans="1:14">
      <c r="A245" s="30" t="s">
        <v>127</v>
      </c>
      <c r="B245" s="184">
        <f t="shared" si="13"/>
        <v>40731</v>
      </c>
      <c r="C245" s="13"/>
      <c r="D245" s="46"/>
      <c r="E245" s="30"/>
      <c r="F245" s="31"/>
      <c r="G245" s="13"/>
      <c r="H245" s="13"/>
      <c r="I245" s="13"/>
      <c r="J245" s="13"/>
      <c r="K245" s="121">
        <f t="shared" si="8"/>
        <v>0</v>
      </c>
      <c r="N245" s="119"/>
    </row>
    <row r="246" spans="1:14">
      <c r="A246" s="30" t="s">
        <v>128</v>
      </c>
      <c r="B246" s="184">
        <f t="shared" si="13"/>
        <v>40732</v>
      </c>
      <c r="C246" s="13" t="s">
        <v>135</v>
      </c>
      <c r="D246" s="46" t="s">
        <v>136</v>
      </c>
      <c r="E246" s="30">
        <v>25</v>
      </c>
      <c r="F246" s="31">
        <v>3</v>
      </c>
      <c r="G246" s="13">
        <f t="shared" ref="G246:G251" si="19">F246*E246</f>
        <v>75</v>
      </c>
      <c r="H246" s="13"/>
      <c r="I246" s="13"/>
      <c r="J246" s="13"/>
      <c r="K246" s="121">
        <f t="shared" ref="K246:K309" si="20">SUM(G246:J246)</f>
        <v>75</v>
      </c>
      <c r="N246" s="119"/>
    </row>
    <row r="247" spans="1:14">
      <c r="A247" s="30" t="s">
        <v>129</v>
      </c>
      <c r="B247" s="184">
        <f>B246+1</f>
        <v>40733</v>
      </c>
      <c r="C247" s="13" t="s">
        <v>132</v>
      </c>
      <c r="D247" s="46" t="s">
        <v>133</v>
      </c>
      <c r="E247" s="30">
        <v>45</v>
      </c>
      <c r="F247" s="31">
        <v>5</v>
      </c>
      <c r="G247" s="13">
        <f t="shared" si="19"/>
        <v>225</v>
      </c>
      <c r="H247" s="13"/>
      <c r="I247" s="13"/>
      <c r="J247" s="13"/>
      <c r="K247" s="121">
        <f t="shared" si="20"/>
        <v>225</v>
      </c>
      <c r="N247" s="119"/>
    </row>
    <row r="248" spans="1:14">
      <c r="A248" s="30" t="s">
        <v>129</v>
      </c>
      <c r="B248" s="184">
        <f>B246+1</f>
        <v>40733</v>
      </c>
      <c r="C248" s="13" t="s">
        <v>118</v>
      </c>
      <c r="D248" s="46" t="s">
        <v>133</v>
      </c>
      <c r="E248" s="30">
        <v>50</v>
      </c>
      <c r="F248" s="31">
        <v>5</v>
      </c>
      <c r="G248" s="13">
        <f t="shared" si="19"/>
        <v>250</v>
      </c>
      <c r="H248" s="13"/>
      <c r="I248" s="13"/>
      <c r="J248" s="13"/>
      <c r="K248" s="121">
        <f t="shared" si="20"/>
        <v>250</v>
      </c>
      <c r="N248" s="119"/>
    </row>
    <row r="249" spans="1:14">
      <c r="A249" s="30" t="s">
        <v>120</v>
      </c>
      <c r="B249" s="184">
        <f t="shared" si="13"/>
        <v>40734</v>
      </c>
      <c r="C249" s="13" t="s">
        <v>125</v>
      </c>
      <c r="D249" s="46" t="s">
        <v>163</v>
      </c>
      <c r="E249" s="30">
        <v>70</v>
      </c>
      <c r="F249" s="31">
        <v>5</v>
      </c>
      <c r="G249" s="13">
        <f t="shared" si="19"/>
        <v>350</v>
      </c>
      <c r="H249" s="13"/>
      <c r="I249" s="13"/>
      <c r="J249" s="13"/>
      <c r="K249" s="121">
        <f t="shared" si="20"/>
        <v>350</v>
      </c>
      <c r="N249" s="119"/>
    </row>
    <row r="250" spans="1:14">
      <c r="A250" s="30" t="s">
        <v>121</v>
      </c>
      <c r="B250" s="184">
        <f>B249+1</f>
        <v>40735</v>
      </c>
      <c r="C250" s="13" t="s">
        <v>152</v>
      </c>
      <c r="D250" s="46" t="s">
        <v>164</v>
      </c>
      <c r="E250" s="30">
        <v>70</v>
      </c>
      <c r="F250" s="31">
        <v>5</v>
      </c>
      <c r="G250" s="13">
        <f t="shared" si="19"/>
        <v>350</v>
      </c>
      <c r="H250" s="13"/>
      <c r="I250" s="13"/>
      <c r="J250" s="13"/>
      <c r="K250" s="121">
        <f t="shared" si="20"/>
        <v>350</v>
      </c>
      <c r="N250" s="119"/>
    </row>
    <row r="251" spans="1:14">
      <c r="A251" s="30" t="s">
        <v>121</v>
      </c>
      <c r="B251" s="184">
        <f>B249+1</f>
        <v>40735</v>
      </c>
      <c r="C251" s="13" t="s">
        <v>132</v>
      </c>
      <c r="D251" s="46" t="s">
        <v>137</v>
      </c>
      <c r="E251" s="30">
        <v>15</v>
      </c>
      <c r="F251" s="31">
        <v>5</v>
      </c>
      <c r="G251" s="13">
        <f t="shared" si="19"/>
        <v>75</v>
      </c>
      <c r="H251" s="13"/>
      <c r="I251" s="13"/>
      <c r="J251" s="13"/>
      <c r="K251" s="121">
        <f t="shared" si="20"/>
        <v>75</v>
      </c>
      <c r="N251" s="119"/>
    </row>
    <row r="252" spans="1:14">
      <c r="A252" s="30" t="s">
        <v>123</v>
      </c>
      <c r="B252" s="184">
        <f t="shared" si="13"/>
        <v>40736</v>
      </c>
      <c r="C252" s="13"/>
      <c r="D252" s="46"/>
      <c r="E252" s="30"/>
      <c r="F252" s="31"/>
      <c r="G252" s="13"/>
      <c r="H252" s="13"/>
      <c r="I252" s="13"/>
      <c r="J252" s="13"/>
      <c r="K252" s="121">
        <f t="shared" si="20"/>
        <v>0</v>
      </c>
      <c r="N252" s="119"/>
    </row>
    <row r="253" spans="1:14">
      <c r="A253" s="30" t="s">
        <v>124</v>
      </c>
      <c r="B253" s="184">
        <f t="shared" si="13"/>
        <v>40737</v>
      </c>
      <c r="C253" s="13" t="s">
        <v>125</v>
      </c>
      <c r="D253" s="46" t="s">
        <v>126</v>
      </c>
      <c r="E253" s="30">
        <v>50</v>
      </c>
      <c r="F253" s="31">
        <v>5</v>
      </c>
      <c r="G253" s="13">
        <f t="shared" ref="G253:G260" si="21">F253*E253</f>
        <v>250</v>
      </c>
      <c r="H253" s="13"/>
      <c r="I253" s="13"/>
      <c r="J253" s="13"/>
      <c r="K253" s="121">
        <f t="shared" si="20"/>
        <v>250</v>
      </c>
      <c r="N253" s="119"/>
    </row>
    <row r="254" spans="1:14">
      <c r="A254" s="30" t="s">
        <v>127</v>
      </c>
      <c r="B254" s="184">
        <f t="shared" si="13"/>
        <v>40738</v>
      </c>
      <c r="C254" s="13" t="s">
        <v>122</v>
      </c>
      <c r="D254" s="46" t="s">
        <v>165</v>
      </c>
      <c r="E254" s="30">
        <v>35</v>
      </c>
      <c r="F254" s="31">
        <v>2</v>
      </c>
      <c r="G254" s="13">
        <f t="shared" si="21"/>
        <v>70</v>
      </c>
      <c r="H254" s="13"/>
      <c r="I254" s="13"/>
      <c r="J254" s="13"/>
      <c r="K254" s="121">
        <f t="shared" si="20"/>
        <v>70</v>
      </c>
      <c r="N254" s="119"/>
    </row>
    <row r="255" spans="1:14">
      <c r="A255" s="30" t="s">
        <v>128</v>
      </c>
      <c r="B255" s="184">
        <f t="shared" si="13"/>
        <v>40739</v>
      </c>
      <c r="C255" s="13" t="s">
        <v>135</v>
      </c>
      <c r="D255" s="46" t="s">
        <v>136</v>
      </c>
      <c r="E255" s="30">
        <v>25</v>
      </c>
      <c r="F255" s="31">
        <v>3</v>
      </c>
      <c r="G255" s="13">
        <f t="shared" si="21"/>
        <v>75</v>
      </c>
      <c r="H255" s="13"/>
      <c r="I255" s="13"/>
      <c r="J255" s="13"/>
      <c r="K255" s="121">
        <f t="shared" si="20"/>
        <v>75</v>
      </c>
      <c r="N255" s="119"/>
    </row>
    <row r="256" spans="1:14">
      <c r="A256" s="30" t="s">
        <v>129</v>
      </c>
      <c r="B256" s="184">
        <f>B257</f>
        <v>40740</v>
      </c>
      <c r="C256" s="13" t="s">
        <v>132</v>
      </c>
      <c r="D256" s="46" t="s">
        <v>133</v>
      </c>
      <c r="E256" s="30">
        <v>45</v>
      </c>
      <c r="F256" s="31">
        <v>5</v>
      </c>
      <c r="G256" s="13">
        <f t="shared" si="21"/>
        <v>225</v>
      </c>
      <c r="H256" s="13"/>
      <c r="I256" s="13"/>
      <c r="J256" s="13"/>
      <c r="K256" s="121">
        <f t="shared" si="20"/>
        <v>225</v>
      </c>
      <c r="N256" s="119"/>
    </row>
    <row r="257" spans="1:14">
      <c r="A257" s="30" t="s">
        <v>129</v>
      </c>
      <c r="B257" s="184">
        <f>B255+1</f>
        <v>40740</v>
      </c>
      <c r="C257" s="13" t="s">
        <v>118</v>
      </c>
      <c r="D257" s="46" t="s">
        <v>133</v>
      </c>
      <c r="E257" s="30">
        <v>50</v>
      </c>
      <c r="F257" s="31">
        <v>5</v>
      </c>
      <c r="G257" s="13">
        <f t="shared" si="21"/>
        <v>250</v>
      </c>
      <c r="H257" s="13"/>
      <c r="I257" s="13"/>
      <c r="J257" s="13"/>
      <c r="K257" s="121">
        <f t="shared" si="20"/>
        <v>250</v>
      </c>
      <c r="N257" s="119"/>
    </row>
    <row r="258" spans="1:14" ht="25.5">
      <c r="A258" s="30" t="s">
        <v>120</v>
      </c>
      <c r="B258" s="184">
        <f t="shared" si="13"/>
        <v>40741</v>
      </c>
      <c r="C258" s="13" t="s">
        <v>152</v>
      </c>
      <c r="D258" s="46" t="s">
        <v>166</v>
      </c>
      <c r="E258" s="30">
        <v>70</v>
      </c>
      <c r="F258" s="31">
        <v>5</v>
      </c>
      <c r="G258" s="13">
        <f t="shared" si="21"/>
        <v>350</v>
      </c>
      <c r="H258" s="13"/>
      <c r="I258" s="13"/>
      <c r="J258" s="13"/>
      <c r="K258" s="121">
        <f t="shared" si="20"/>
        <v>350</v>
      </c>
      <c r="N258" s="119"/>
    </row>
    <row r="259" spans="1:14">
      <c r="A259" s="30" t="s">
        <v>121</v>
      </c>
      <c r="B259" s="184">
        <f>B257+1</f>
        <v>40741</v>
      </c>
      <c r="C259" s="13" t="s">
        <v>122</v>
      </c>
      <c r="D259" s="46" t="s">
        <v>154</v>
      </c>
      <c r="E259" s="30">
        <v>40</v>
      </c>
      <c r="F259" s="31">
        <v>2</v>
      </c>
      <c r="G259" s="13">
        <f t="shared" si="21"/>
        <v>80</v>
      </c>
      <c r="H259" s="13"/>
      <c r="I259" s="13"/>
      <c r="J259" s="13"/>
      <c r="K259" s="121">
        <f t="shared" si="20"/>
        <v>80</v>
      </c>
      <c r="N259" s="119"/>
    </row>
    <row r="260" spans="1:14">
      <c r="A260" s="30" t="s">
        <v>121</v>
      </c>
      <c r="B260" s="184">
        <f>B258+1</f>
        <v>40742</v>
      </c>
      <c r="C260" s="13" t="s">
        <v>132</v>
      </c>
      <c r="D260" s="46" t="s">
        <v>167</v>
      </c>
      <c r="E260" s="30">
        <v>1</v>
      </c>
      <c r="F260" s="31">
        <v>6</v>
      </c>
      <c r="G260" s="13">
        <f t="shared" si="21"/>
        <v>6</v>
      </c>
      <c r="H260" s="13"/>
      <c r="I260" s="13"/>
      <c r="J260" s="13"/>
      <c r="K260" s="121">
        <f t="shared" si="20"/>
        <v>6</v>
      </c>
      <c r="N260" s="119"/>
    </row>
    <row r="261" spans="1:14">
      <c r="A261" s="30" t="s">
        <v>123</v>
      </c>
      <c r="B261" s="184">
        <f t="shared" si="13"/>
        <v>40743</v>
      </c>
      <c r="C261" s="13"/>
      <c r="D261" s="46"/>
      <c r="E261" s="30"/>
      <c r="F261" s="31"/>
      <c r="G261" s="13"/>
      <c r="H261" s="13"/>
      <c r="I261" s="13"/>
      <c r="J261" s="13"/>
      <c r="K261" s="121">
        <f t="shared" si="20"/>
        <v>0</v>
      </c>
      <c r="N261" s="119"/>
    </row>
    <row r="262" spans="1:14">
      <c r="A262" s="30" t="s">
        <v>124</v>
      </c>
      <c r="B262" s="184">
        <f t="shared" si="13"/>
        <v>40744</v>
      </c>
      <c r="C262" s="13" t="s">
        <v>125</v>
      </c>
      <c r="D262" s="46" t="s">
        <v>168</v>
      </c>
      <c r="E262" s="30">
        <v>60</v>
      </c>
      <c r="F262" s="31">
        <v>5</v>
      </c>
      <c r="G262" s="13">
        <f>F262*E262</f>
        <v>300</v>
      </c>
      <c r="H262" s="13"/>
      <c r="I262" s="13"/>
      <c r="J262" s="13"/>
      <c r="K262" s="121">
        <f t="shared" si="20"/>
        <v>300</v>
      </c>
      <c r="N262" s="119"/>
    </row>
    <row r="263" spans="1:14">
      <c r="A263" s="30" t="s">
        <v>127</v>
      </c>
      <c r="B263" s="184">
        <f>B262+1</f>
        <v>40745</v>
      </c>
      <c r="C263" s="13" t="s">
        <v>135</v>
      </c>
      <c r="D263" s="46" t="s">
        <v>169</v>
      </c>
      <c r="E263" s="30">
        <v>28</v>
      </c>
      <c r="F263" s="31">
        <v>2</v>
      </c>
      <c r="G263" s="13">
        <f>F263*E263/2</f>
        <v>28</v>
      </c>
      <c r="H263" s="13"/>
      <c r="I263" s="13">
        <f>E263*F263/2</f>
        <v>28</v>
      </c>
      <c r="J263" s="13"/>
      <c r="K263" s="121">
        <f t="shared" si="20"/>
        <v>56</v>
      </c>
      <c r="L263" s="119"/>
      <c r="N263" s="119"/>
    </row>
    <row r="264" spans="1:14">
      <c r="A264" s="30" t="s">
        <v>127</v>
      </c>
      <c r="B264" s="184">
        <f>B262+1</f>
        <v>40745</v>
      </c>
      <c r="C264" s="13" t="s">
        <v>122</v>
      </c>
      <c r="D264" s="46" t="s">
        <v>165</v>
      </c>
      <c r="E264" s="30">
        <v>35</v>
      </c>
      <c r="F264" s="31">
        <v>2</v>
      </c>
      <c r="G264" s="13">
        <f>F264*E264</f>
        <v>70</v>
      </c>
      <c r="H264" s="13"/>
      <c r="I264" s="13"/>
      <c r="J264" s="13"/>
      <c r="K264" s="121">
        <f t="shared" si="20"/>
        <v>70</v>
      </c>
      <c r="L264" s="119"/>
      <c r="N264" s="119"/>
    </row>
    <row r="265" spans="1:14">
      <c r="A265" s="30" t="s">
        <v>128</v>
      </c>
      <c r="B265" s="184">
        <f t="shared" ref="B265:B291" si="22">B264+1</f>
        <v>40746</v>
      </c>
      <c r="C265" s="13" t="s">
        <v>135</v>
      </c>
      <c r="D265" s="46" t="s">
        <v>169</v>
      </c>
      <c r="E265" s="30">
        <v>28</v>
      </c>
      <c r="F265" s="31">
        <v>2</v>
      </c>
      <c r="G265" s="13">
        <f>F265*E265/2</f>
        <v>28</v>
      </c>
      <c r="H265" s="13"/>
      <c r="I265" s="13">
        <f>E265*F265/2</f>
        <v>28</v>
      </c>
      <c r="J265" s="13"/>
      <c r="K265" s="121">
        <f t="shared" ref="K265:K266" si="23">SUM(G265:J265)</f>
        <v>56</v>
      </c>
      <c r="L265" s="119"/>
      <c r="N265" s="119"/>
    </row>
    <row r="266" spans="1:14">
      <c r="A266" s="30" t="s">
        <v>129</v>
      </c>
      <c r="B266" s="184">
        <f>B265+1</f>
        <v>40747</v>
      </c>
      <c r="C266" s="13" t="s">
        <v>135</v>
      </c>
      <c r="D266" s="46" t="s">
        <v>169</v>
      </c>
      <c r="E266" s="30">
        <v>28</v>
      </c>
      <c r="F266" s="31">
        <v>2</v>
      </c>
      <c r="G266" s="13">
        <f>F266*E266/2</f>
        <v>28</v>
      </c>
      <c r="H266" s="13"/>
      <c r="I266" s="13">
        <f>E266*F266/2</f>
        <v>28</v>
      </c>
      <c r="J266" s="13"/>
      <c r="K266" s="121">
        <f t="shared" si="23"/>
        <v>56</v>
      </c>
      <c r="L266" s="119"/>
      <c r="N266" s="119"/>
    </row>
    <row r="267" spans="1:14">
      <c r="A267" s="30" t="s">
        <v>129</v>
      </c>
      <c r="B267" s="184">
        <f>B265+1</f>
        <v>40747</v>
      </c>
      <c r="C267" s="13" t="s">
        <v>132</v>
      </c>
      <c r="D267" s="46" t="s">
        <v>133</v>
      </c>
      <c r="E267" s="30">
        <v>45</v>
      </c>
      <c r="F267" s="31">
        <v>5</v>
      </c>
      <c r="G267" s="13">
        <f>F267*E267</f>
        <v>225</v>
      </c>
      <c r="H267" s="13"/>
      <c r="I267" s="13"/>
      <c r="J267" s="13"/>
      <c r="K267" s="121">
        <f t="shared" si="20"/>
        <v>225</v>
      </c>
      <c r="L267" s="119"/>
      <c r="N267" s="119"/>
    </row>
    <row r="268" spans="1:14">
      <c r="A268" s="30" t="s">
        <v>129</v>
      </c>
      <c r="B268" s="184">
        <f>B265+1</f>
        <v>40747</v>
      </c>
      <c r="C268" s="13" t="s">
        <v>118</v>
      </c>
      <c r="D268" s="46" t="s">
        <v>133</v>
      </c>
      <c r="E268" s="30">
        <v>50</v>
      </c>
      <c r="F268" s="31">
        <v>5</v>
      </c>
      <c r="G268" s="13">
        <f>F268*E268</f>
        <v>250</v>
      </c>
      <c r="H268" s="13"/>
      <c r="I268" s="13"/>
      <c r="J268" s="13"/>
      <c r="K268" s="121">
        <f t="shared" si="20"/>
        <v>250</v>
      </c>
      <c r="L268" s="119"/>
      <c r="N268" s="119"/>
    </row>
    <row r="269" spans="1:14">
      <c r="A269" s="30" t="s">
        <v>120</v>
      </c>
      <c r="B269" s="184">
        <f t="shared" si="22"/>
        <v>40748</v>
      </c>
      <c r="C269" s="13" t="s">
        <v>152</v>
      </c>
      <c r="D269" s="46" t="s">
        <v>170</v>
      </c>
      <c r="E269" s="30">
        <v>70</v>
      </c>
      <c r="F269" s="31">
        <v>5</v>
      </c>
      <c r="G269" s="13">
        <f>F269*E269</f>
        <v>350</v>
      </c>
      <c r="H269" s="13"/>
      <c r="I269" s="13"/>
      <c r="J269" s="13"/>
      <c r="K269" s="121">
        <f t="shared" si="20"/>
        <v>350</v>
      </c>
      <c r="L269" s="119"/>
      <c r="N269" s="119"/>
    </row>
    <row r="270" spans="1:14">
      <c r="A270" s="30" t="s">
        <v>121</v>
      </c>
      <c r="B270" s="184">
        <f t="shared" si="22"/>
        <v>40749</v>
      </c>
      <c r="C270" s="13" t="s">
        <v>122</v>
      </c>
      <c r="D270" s="46" t="s">
        <v>154</v>
      </c>
      <c r="E270" s="30">
        <v>40</v>
      </c>
      <c r="F270" s="31">
        <v>2</v>
      </c>
      <c r="G270" s="13">
        <f>F270*E270</f>
        <v>80</v>
      </c>
      <c r="H270" s="13"/>
      <c r="I270" s="13"/>
      <c r="J270" s="13"/>
      <c r="K270" s="121">
        <f t="shared" si="20"/>
        <v>80</v>
      </c>
      <c r="L270" s="119"/>
      <c r="N270" s="119"/>
    </row>
    <row r="271" spans="1:14">
      <c r="A271" s="30" t="s">
        <v>121</v>
      </c>
      <c r="B271" s="184">
        <f>B270</f>
        <v>40749</v>
      </c>
      <c r="C271" s="13" t="s">
        <v>118</v>
      </c>
      <c r="D271" s="46" t="s">
        <v>171</v>
      </c>
      <c r="E271" s="30">
        <v>60</v>
      </c>
      <c r="F271" s="31">
        <v>7</v>
      </c>
      <c r="G271" s="13"/>
      <c r="H271" s="13">
        <f>F271*E271/4</f>
        <v>105</v>
      </c>
      <c r="I271" s="13"/>
      <c r="J271" s="13">
        <f>E271*F271*3/4</f>
        <v>315</v>
      </c>
      <c r="K271" s="121">
        <f t="shared" si="20"/>
        <v>420</v>
      </c>
      <c r="L271" s="119"/>
      <c r="N271" s="119"/>
    </row>
    <row r="272" spans="1:14">
      <c r="A272" s="30" t="s">
        <v>121</v>
      </c>
      <c r="B272" s="184">
        <f>B269+1</f>
        <v>40749</v>
      </c>
      <c r="C272" s="13" t="s">
        <v>132</v>
      </c>
      <c r="D272" s="46" t="s">
        <v>137</v>
      </c>
      <c r="E272" s="30">
        <v>15</v>
      </c>
      <c r="F272" s="31">
        <v>5</v>
      </c>
      <c r="G272" s="13">
        <f>F272*E272</f>
        <v>75</v>
      </c>
      <c r="H272" s="13"/>
      <c r="I272" s="13"/>
      <c r="J272" s="13"/>
      <c r="K272" s="121">
        <f t="shared" si="20"/>
        <v>75</v>
      </c>
      <c r="L272" s="119"/>
      <c r="N272" s="119"/>
    </row>
    <row r="273" spans="1:14">
      <c r="A273" s="30" t="s">
        <v>123</v>
      </c>
      <c r="B273" s="184">
        <v>40750</v>
      </c>
      <c r="C273" s="13" t="s">
        <v>118</v>
      </c>
      <c r="D273" s="46" t="s">
        <v>171</v>
      </c>
      <c r="E273" s="30">
        <v>60</v>
      </c>
      <c r="F273" s="31">
        <v>7</v>
      </c>
      <c r="G273" s="13"/>
      <c r="H273" s="13">
        <f t="shared" ref="H273:H275" si="24">F273*E273/4</f>
        <v>105</v>
      </c>
      <c r="I273" s="13"/>
      <c r="J273" s="13">
        <f t="shared" ref="J273:J275" si="25">E273*F273*3/4</f>
        <v>315</v>
      </c>
      <c r="K273" s="121">
        <f t="shared" si="20"/>
        <v>420</v>
      </c>
      <c r="L273" s="119"/>
      <c r="N273" s="119"/>
    </row>
    <row r="274" spans="1:14">
      <c r="A274" s="30" t="s">
        <v>123</v>
      </c>
      <c r="B274" s="184">
        <f>B272+1</f>
        <v>40750</v>
      </c>
      <c r="C274" s="13" t="s">
        <v>118</v>
      </c>
      <c r="D274" s="46" t="s">
        <v>171</v>
      </c>
      <c r="E274" s="30">
        <v>60</v>
      </c>
      <c r="F274" s="31">
        <v>7</v>
      </c>
      <c r="G274" s="13"/>
      <c r="H274" s="13">
        <f t="shared" si="24"/>
        <v>105</v>
      </c>
      <c r="I274" s="13"/>
      <c r="J274" s="13">
        <f t="shared" si="25"/>
        <v>315</v>
      </c>
      <c r="K274" s="121">
        <f t="shared" si="20"/>
        <v>420</v>
      </c>
      <c r="L274" s="119"/>
      <c r="N274" s="119"/>
    </row>
    <row r="275" spans="1:14">
      <c r="A275" s="30" t="s">
        <v>124</v>
      </c>
      <c r="B275" s="184">
        <f>B274+1</f>
        <v>40751</v>
      </c>
      <c r="C275" s="13" t="s">
        <v>118</v>
      </c>
      <c r="D275" s="46" t="s">
        <v>171</v>
      </c>
      <c r="E275" s="30">
        <v>60</v>
      </c>
      <c r="F275" s="31">
        <v>7</v>
      </c>
      <c r="G275" s="13"/>
      <c r="H275" s="13">
        <f t="shared" si="24"/>
        <v>105</v>
      </c>
      <c r="I275" s="13"/>
      <c r="J275" s="13">
        <f t="shared" si="25"/>
        <v>315</v>
      </c>
      <c r="K275" s="121">
        <f t="shared" si="20"/>
        <v>420</v>
      </c>
      <c r="L275" s="119"/>
      <c r="N275" s="119"/>
    </row>
    <row r="276" spans="1:14">
      <c r="A276" s="30" t="s">
        <v>124</v>
      </c>
      <c r="B276" s="184">
        <f>B274+1</f>
        <v>40751</v>
      </c>
      <c r="C276" s="13" t="s">
        <v>125</v>
      </c>
      <c r="D276" s="46" t="s">
        <v>126</v>
      </c>
      <c r="E276" s="30">
        <v>50</v>
      </c>
      <c r="F276" s="31">
        <v>5</v>
      </c>
      <c r="G276" s="13">
        <f>F276*E276</f>
        <v>250</v>
      </c>
      <c r="H276" s="13"/>
      <c r="I276" s="13"/>
      <c r="J276" s="13"/>
      <c r="K276" s="121">
        <f t="shared" si="20"/>
        <v>250</v>
      </c>
      <c r="L276" s="119"/>
      <c r="N276" s="119"/>
    </row>
    <row r="277" spans="1:14">
      <c r="A277" s="30" t="s">
        <v>127</v>
      </c>
      <c r="B277" s="184">
        <v>40752</v>
      </c>
      <c r="C277" s="13" t="s">
        <v>118</v>
      </c>
      <c r="D277" s="46" t="s">
        <v>171</v>
      </c>
      <c r="E277" s="30">
        <v>60</v>
      </c>
      <c r="F277" s="31">
        <v>7</v>
      </c>
      <c r="G277" s="13"/>
      <c r="H277" s="13">
        <f>F277*E277/4</f>
        <v>105</v>
      </c>
      <c r="I277" s="13"/>
      <c r="J277" s="13">
        <f>E277*F277*3/4</f>
        <v>315</v>
      </c>
      <c r="K277" s="121">
        <f t="shared" si="20"/>
        <v>420</v>
      </c>
      <c r="L277" s="119"/>
      <c r="N277" s="119"/>
    </row>
    <row r="278" spans="1:14">
      <c r="A278" s="30" t="s">
        <v>127</v>
      </c>
      <c r="B278" s="184">
        <f>B276+1</f>
        <v>40752</v>
      </c>
      <c r="C278" s="13" t="s">
        <v>122</v>
      </c>
      <c r="D278" s="46" t="s">
        <v>165</v>
      </c>
      <c r="E278" s="30">
        <v>35</v>
      </c>
      <c r="F278" s="31">
        <v>2</v>
      </c>
      <c r="G278" s="13">
        <f>F278*E278</f>
        <v>70</v>
      </c>
      <c r="H278" s="13"/>
      <c r="I278" s="13"/>
      <c r="J278" s="13"/>
      <c r="K278" s="121">
        <f t="shared" si="20"/>
        <v>70</v>
      </c>
      <c r="L278" s="119"/>
      <c r="N278" s="119"/>
    </row>
    <row r="279" spans="1:14">
      <c r="A279" s="30" t="s">
        <v>128</v>
      </c>
      <c r="B279" s="184">
        <f t="shared" si="22"/>
        <v>40753</v>
      </c>
      <c r="C279" s="13" t="s">
        <v>118</v>
      </c>
      <c r="D279" s="46" t="s">
        <v>171</v>
      </c>
      <c r="E279" s="30">
        <v>60</v>
      </c>
      <c r="F279" s="31">
        <v>7</v>
      </c>
      <c r="G279" s="13"/>
      <c r="H279" s="13">
        <f>F279*E279/4</f>
        <v>105</v>
      </c>
      <c r="I279" s="13"/>
      <c r="J279" s="13">
        <f>E279*F279*3/4</f>
        <v>315</v>
      </c>
      <c r="K279" s="121">
        <f t="shared" si="20"/>
        <v>420</v>
      </c>
      <c r="L279" s="119"/>
      <c r="N279" s="119"/>
    </row>
    <row r="280" spans="1:14">
      <c r="A280" s="30" t="s">
        <v>129</v>
      </c>
      <c r="B280" s="184">
        <f>B278+1</f>
        <v>40753</v>
      </c>
      <c r="C280" s="13" t="s">
        <v>132</v>
      </c>
      <c r="D280" s="46" t="s">
        <v>133</v>
      </c>
      <c r="E280" s="30">
        <v>45</v>
      </c>
      <c r="F280" s="31">
        <v>5</v>
      </c>
      <c r="G280" s="13">
        <f>F280*E280</f>
        <v>225</v>
      </c>
      <c r="H280" s="13"/>
      <c r="I280" s="13"/>
      <c r="J280" s="13"/>
      <c r="K280" s="121">
        <f t="shared" si="20"/>
        <v>225</v>
      </c>
      <c r="L280" s="119"/>
      <c r="N280" s="119"/>
    </row>
    <row r="281" spans="1:14">
      <c r="A281" s="30" t="s">
        <v>129</v>
      </c>
      <c r="B281" s="184">
        <f>B279+1</f>
        <v>40754</v>
      </c>
      <c r="C281" s="13" t="s">
        <v>118</v>
      </c>
      <c r="D281" s="46" t="s">
        <v>133</v>
      </c>
      <c r="E281" s="30">
        <v>50</v>
      </c>
      <c r="F281" s="31">
        <v>5</v>
      </c>
      <c r="G281" s="13">
        <f>F281*E281</f>
        <v>250</v>
      </c>
      <c r="H281" s="13"/>
      <c r="I281" s="13"/>
      <c r="J281" s="13"/>
      <c r="K281" s="121">
        <f t="shared" si="20"/>
        <v>250</v>
      </c>
      <c r="L281" s="119"/>
      <c r="N281" s="119"/>
    </row>
    <row r="282" spans="1:14">
      <c r="A282" s="30" t="s">
        <v>120</v>
      </c>
      <c r="B282" s="184">
        <f t="shared" si="22"/>
        <v>40755</v>
      </c>
      <c r="C282" s="13" t="s">
        <v>125</v>
      </c>
      <c r="D282" s="46" t="s">
        <v>134</v>
      </c>
      <c r="E282" s="30">
        <v>20</v>
      </c>
      <c r="F282" s="31">
        <v>5</v>
      </c>
      <c r="G282" s="13">
        <f>F282*E282</f>
        <v>100</v>
      </c>
      <c r="H282" s="13"/>
      <c r="I282" s="13"/>
      <c r="J282" s="13"/>
      <c r="K282" s="121">
        <f t="shared" si="20"/>
        <v>100</v>
      </c>
      <c r="L282" s="119"/>
      <c r="N282" s="119"/>
    </row>
    <row r="283" spans="1:14">
      <c r="A283" s="30" t="s">
        <v>121</v>
      </c>
      <c r="B283" s="184">
        <f>B281+1</f>
        <v>40755</v>
      </c>
      <c r="C283" s="13" t="s">
        <v>152</v>
      </c>
      <c r="D283" s="46" t="s">
        <v>172</v>
      </c>
      <c r="E283" s="30">
        <v>70</v>
      </c>
      <c r="F283" s="31">
        <v>2</v>
      </c>
      <c r="G283" s="13">
        <f>F283*E283</f>
        <v>140</v>
      </c>
      <c r="H283" s="13"/>
      <c r="I283" s="13"/>
      <c r="J283" s="13"/>
      <c r="K283" s="121">
        <f t="shared" si="20"/>
        <v>140</v>
      </c>
      <c r="L283" s="119"/>
      <c r="N283" s="119"/>
    </row>
    <row r="284" spans="1:14">
      <c r="A284" s="30" t="s">
        <v>121</v>
      </c>
      <c r="B284" s="184">
        <f>B282+1</f>
        <v>40756</v>
      </c>
      <c r="C284" s="13" t="s">
        <v>132</v>
      </c>
      <c r="D284" s="46" t="s">
        <v>173</v>
      </c>
      <c r="E284" s="30">
        <v>40</v>
      </c>
      <c r="F284" s="31">
        <v>5</v>
      </c>
      <c r="G284" s="13">
        <f>F284*E284</f>
        <v>200</v>
      </c>
      <c r="H284" s="13"/>
      <c r="I284" s="13"/>
      <c r="J284" s="13"/>
      <c r="K284" s="121">
        <f t="shared" si="20"/>
        <v>200</v>
      </c>
      <c r="L284" s="119"/>
      <c r="N284" s="119"/>
    </row>
    <row r="285" spans="1:14">
      <c r="A285" s="30" t="s">
        <v>123</v>
      </c>
      <c r="B285" s="184">
        <f t="shared" si="22"/>
        <v>40757</v>
      </c>
      <c r="C285" s="13"/>
      <c r="D285" s="46"/>
      <c r="E285" s="30"/>
      <c r="F285" s="31"/>
      <c r="G285" s="13"/>
      <c r="H285" s="13"/>
      <c r="I285" s="13"/>
      <c r="J285" s="13"/>
      <c r="K285" s="121">
        <f t="shared" si="20"/>
        <v>0</v>
      </c>
      <c r="L285" s="119"/>
      <c r="N285" s="119"/>
    </row>
    <row r="286" spans="1:14" ht="25.5">
      <c r="A286" s="30" t="s">
        <v>124</v>
      </c>
      <c r="B286" s="184">
        <f t="shared" si="22"/>
        <v>40758</v>
      </c>
      <c r="C286" s="13" t="s">
        <v>125</v>
      </c>
      <c r="D286" s="46" t="s">
        <v>174</v>
      </c>
      <c r="E286" s="30">
        <v>50</v>
      </c>
      <c r="F286" s="31">
        <v>5</v>
      </c>
      <c r="G286" s="13">
        <f>F286*E286</f>
        <v>250</v>
      </c>
      <c r="H286" s="13"/>
      <c r="I286" s="13"/>
      <c r="J286" s="13"/>
      <c r="K286" s="121">
        <f t="shared" si="20"/>
        <v>250</v>
      </c>
      <c r="L286" s="119"/>
      <c r="N286" s="119"/>
    </row>
    <row r="287" spans="1:14">
      <c r="A287" s="30" t="s">
        <v>127</v>
      </c>
      <c r="B287" s="184">
        <f t="shared" si="22"/>
        <v>40759</v>
      </c>
      <c r="C287" s="13" t="s">
        <v>122</v>
      </c>
      <c r="D287" s="46" t="s">
        <v>165</v>
      </c>
      <c r="E287" s="30">
        <v>35</v>
      </c>
      <c r="F287" s="31">
        <v>2</v>
      </c>
      <c r="G287" s="13">
        <f>F287*E287</f>
        <v>70</v>
      </c>
      <c r="H287" s="13"/>
      <c r="I287" s="13"/>
      <c r="J287" s="13"/>
      <c r="K287" s="121">
        <f t="shared" si="20"/>
        <v>70</v>
      </c>
      <c r="L287" s="119"/>
      <c r="N287" s="119"/>
    </row>
    <row r="288" spans="1:14">
      <c r="A288" s="30" t="s">
        <v>128</v>
      </c>
      <c r="B288" s="184">
        <f t="shared" si="22"/>
        <v>40760</v>
      </c>
      <c r="C288" s="13" t="s">
        <v>135</v>
      </c>
      <c r="D288" s="46" t="s">
        <v>136</v>
      </c>
      <c r="E288" s="30">
        <v>25</v>
      </c>
      <c r="F288" s="31">
        <v>3</v>
      </c>
      <c r="G288" s="13">
        <f>F288*E288</f>
        <v>75</v>
      </c>
      <c r="H288" s="13"/>
      <c r="I288" s="13"/>
      <c r="J288" s="13"/>
      <c r="K288" s="121">
        <f t="shared" ref="K288" si="26">SUM(G288:J288)</f>
        <v>75</v>
      </c>
      <c r="L288" s="119"/>
      <c r="N288" s="119"/>
    </row>
    <row r="289" spans="1:14">
      <c r="A289" s="30" t="s">
        <v>129</v>
      </c>
      <c r="B289" s="184">
        <f>B287+1</f>
        <v>40760</v>
      </c>
      <c r="C289" s="13" t="s">
        <v>132</v>
      </c>
      <c r="D289" s="46" t="s">
        <v>133</v>
      </c>
      <c r="E289" s="30">
        <v>45</v>
      </c>
      <c r="F289" s="31">
        <v>5</v>
      </c>
      <c r="G289" s="13">
        <f>F289*E289</f>
        <v>225</v>
      </c>
      <c r="H289" s="13"/>
      <c r="I289" s="13"/>
      <c r="J289" s="13"/>
      <c r="K289" s="121">
        <f t="shared" si="20"/>
        <v>225</v>
      </c>
      <c r="L289" s="119"/>
      <c r="N289" s="119"/>
    </row>
    <row r="290" spans="1:14">
      <c r="A290" s="30" t="s">
        <v>129</v>
      </c>
      <c r="B290" s="184">
        <f>B288+1</f>
        <v>40761</v>
      </c>
      <c r="C290" s="13" t="s">
        <v>118</v>
      </c>
      <c r="D290" s="46" t="s">
        <v>133</v>
      </c>
      <c r="E290" s="30">
        <v>50</v>
      </c>
      <c r="F290" s="31">
        <v>5</v>
      </c>
      <c r="G290" s="13">
        <f>F290*E290</f>
        <v>250</v>
      </c>
      <c r="H290" s="13"/>
      <c r="I290" s="13"/>
      <c r="J290" s="13"/>
      <c r="K290" s="121">
        <f t="shared" si="20"/>
        <v>250</v>
      </c>
      <c r="L290" s="119"/>
      <c r="N290" s="119"/>
    </row>
    <row r="291" spans="1:14">
      <c r="A291" s="30" t="s">
        <v>120</v>
      </c>
      <c r="B291" s="184">
        <f t="shared" si="22"/>
        <v>40762</v>
      </c>
      <c r="C291" s="13" t="s">
        <v>118</v>
      </c>
      <c r="D291" s="46" t="s">
        <v>175</v>
      </c>
      <c r="E291" s="30">
        <v>125</v>
      </c>
      <c r="F291" s="31">
        <v>6</v>
      </c>
      <c r="G291" s="13">
        <f>F291*E291/2</f>
        <v>375</v>
      </c>
      <c r="H291" s="13">
        <v>375</v>
      </c>
      <c r="I291" s="13"/>
      <c r="J291" s="13"/>
      <c r="K291" s="121">
        <f t="shared" si="20"/>
        <v>750</v>
      </c>
      <c r="L291" s="119"/>
      <c r="N291" s="119"/>
    </row>
    <row r="292" spans="1:14">
      <c r="A292" s="30" t="s">
        <v>121</v>
      </c>
      <c r="B292" s="184">
        <v>40762</v>
      </c>
      <c r="C292" s="13" t="s">
        <v>152</v>
      </c>
      <c r="D292" s="46" t="s">
        <v>176</v>
      </c>
      <c r="E292" s="30">
        <v>155</v>
      </c>
      <c r="F292" s="31">
        <v>6</v>
      </c>
      <c r="G292" s="13">
        <f>E292*F292/2</f>
        <v>465</v>
      </c>
      <c r="H292" s="13">
        <f>G292</f>
        <v>465</v>
      </c>
      <c r="I292" s="13"/>
      <c r="J292" s="13"/>
      <c r="K292" s="121">
        <f t="shared" si="20"/>
        <v>930</v>
      </c>
      <c r="L292" s="119"/>
      <c r="N292" s="119"/>
    </row>
    <row r="293" spans="1:14">
      <c r="A293" s="30" t="s">
        <v>121</v>
      </c>
      <c r="B293" s="184">
        <v>40762</v>
      </c>
      <c r="C293" s="13" t="s">
        <v>152</v>
      </c>
      <c r="D293" s="46"/>
      <c r="E293" s="30">
        <v>75</v>
      </c>
      <c r="F293" s="31">
        <v>2</v>
      </c>
      <c r="G293" s="13">
        <f>E293*F293/2</f>
        <v>75</v>
      </c>
      <c r="H293" s="13">
        <f>E293*F293/2</f>
        <v>75</v>
      </c>
      <c r="I293" s="13"/>
      <c r="J293" s="13"/>
      <c r="K293" s="121">
        <f t="shared" si="20"/>
        <v>150</v>
      </c>
      <c r="L293" s="119"/>
      <c r="N293" s="119"/>
    </row>
    <row r="294" spans="1:14">
      <c r="A294" s="30" t="s">
        <v>121</v>
      </c>
      <c r="B294" s="184">
        <f>B290+1</f>
        <v>40762</v>
      </c>
      <c r="C294" s="13" t="s">
        <v>152</v>
      </c>
      <c r="D294" s="46" t="s">
        <v>176</v>
      </c>
      <c r="E294" s="30">
        <v>125</v>
      </c>
      <c r="F294" s="31">
        <v>6</v>
      </c>
      <c r="G294" s="13"/>
      <c r="H294" s="13"/>
      <c r="I294" s="13">
        <f>(E294*F294/2)</f>
        <v>375</v>
      </c>
      <c r="J294" s="13">
        <f>I294</f>
        <v>375</v>
      </c>
      <c r="K294" s="121">
        <f>SUM(G294:J294)</f>
        <v>750</v>
      </c>
      <c r="L294" s="119"/>
      <c r="N294" s="119"/>
    </row>
    <row r="295" spans="1:14">
      <c r="A295" s="30" t="s">
        <v>123</v>
      </c>
      <c r="B295" s="184">
        <v>40763</v>
      </c>
      <c r="C295" s="13" t="s">
        <v>152</v>
      </c>
      <c r="D295" s="46" t="s">
        <v>176</v>
      </c>
      <c r="E295" s="30">
        <v>155</v>
      </c>
      <c r="F295" s="31">
        <v>6</v>
      </c>
      <c r="G295" s="13">
        <f>E295*F295/2</f>
        <v>465</v>
      </c>
      <c r="H295" s="13">
        <f>G295</f>
        <v>465</v>
      </c>
      <c r="I295" s="13"/>
      <c r="J295" s="13"/>
      <c r="K295" s="121">
        <f t="shared" si="20"/>
        <v>930</v>
      </c>
      <c r="L295" s="119"/>
      <c r="N295" s="119"/>
    </row>
    <row r="296" spans="1:14">
      <c r="A296" s="30" t="s">
        <v>123</v>
      </c>
      <c r="B296" s="184">
        <v>40763</v>
      </c>
      <c r="C296" s="13" t="s">
        <v>152</v>
      </c>
      <c r="D296" s="46"/>
      <c r="E296" s="30">
        <v>75</v>
      </c>
      <c r="F296" s="31">
        <v>2</v>
      </c>
      <c r="G296" s="13">
        <f>E296*F296/2</f>
        <v>75</v>
      </c>
      <c r="H296" s="13">
        <f>E296*F296/2</f>
        <v>75</v>
      </c>
      <c r="I296" s="13"/>
      <c r="J296" s="13"/>
      <c r="K296" s="121">
        <f t="shared" si="20"/>
        <v>150</v>
      </c>
      <c r="L296" s="119"/>
      <c r="N296" s="119"/>
    </row>
    <row r="297" spans="1:14">
      <c r="A297" s="30" t="s">
        <v>123</v>
      </c>
      <c r="B297" s="184">
        <f>B294+1</f>
        <v>40763</v>
      </c>
      <c r="C297" s="13" t="s">
        <v>152</v>
      </c>
      <c r="D297" s="46" t="s">
        <v>176</v>
      </c>
      <c r="E297" s="30">
        <v>125</v>
      </c>
      <c r="F297" s="31">
        <v>6</v>
      </c>
      <c r="G297" s="13"/>
      <c r="H297" s="13"/>
      <c r="I297" s="13">
        <f>(E297*F297/2)</f>
        <v>375</v>
      </c>
      <c r="J297" s="13">
        <f>I297</f>
        <v>375</v>
      </c>
      <c r="K297" s="121">
        <f t="shared" si="20"/>
        <v>750</v>
      </c>
      <c r="L297" s="119"/>
      <c r="N297" s="119"/>
    </row>
    <row r="298" spans="1:14">
      <c r="A298" s="30" t="s">
        <v>124</v>
      </c>
      <c r="B298" s="184">
        <v>40764</v>
      </c>
      <c r="C298" s="13" t="s">
        <v>152</v>
      </c>
      <c r="D298" s="46" t="s">
        <v>176</v>
      </c>
      <c r="E298" s="30">
        <v>155</v>
      </c>
      <c r="F298" s="31">
        <v>6</v>
      </c>
      <c r="G298" s="13">
        <f>E298*F298/2</f>
        <v>465</v>
      </c>
      <c r="H298" s="13">
        <f>G298</f>
        <v>465</v>
      </c>
      <c r="I298" s="13"/>
      <c r="J298" s="13"/>
      <c r="K298" s="121">
        <f t="shared" si="20"/>
        <v>930</v>
      </c>
      <c r="L298" s="119"/>
      <c r="N298" s="119"/>
    </row>
    <row r="299" spans="1:14" ht="25.5">
      <c r="A299" s="30" t="s">
        <v>124</v>
      </c>
      <c r="B299" s="184">
        <v>40764</v>
      </c>
      <c r="C299" s="13" t="s">
        <v>152</v>
      </c>
      <c r="D299" s="46" t="s">
        <v>177</v>
      </c>
      <c r="E299" s="30">
        <v>75</v>
      </c>
      <c r="F299" s="31">
        <v>2</v>
      </c>
      <c r="G299" s="13">
        <f>E299*F299/2</f>
        <v>75</v>
      </c>
      <c r="H299" s="13">
        <f>E299*F299/2</f>
        <v>75</v>
      </c>
      <c r="I299" s="13"/>
      <c r="J299" s="13"/>
      <c r="K299" s="121">
        <f t="shared" si="20"/>
        <v>150</v>
      </c>
      <c r="L299" s="119"/>
      <c r="N299" s="119"/>
    </row>
    <row r="300" spans="1:14">
      <c r="A300" s="30" t="s">
        <v>124</v>
      </c>
      <c r="B300" s="184">
        <f>B297+1</f>
        <v>40764</v>
      </c>
      <c r="C300" s="13" t="s">
        <v>152</v>
      </c>
      <c r="D300" s="46" t="s">
        <v>176</v>
      </c>
      <c r="E300" s="30">
        <v>125</v>
      </c>
      <c r="F300" s="31">
        <v>6</v>
      </c>
      <c r="G300" s="13"/>
      <c r="H300" s="13"/>
      <c r="I300" s="13">
        <f>(E300*F300/2)</f>
        <v>375</v>
      </c>
      <c r="J300" s="13">
        <f>I300</f>
        <v>375</v>
      </c>
      <c r="K300" s="121">
        <f t="shared" si="20"/>
        <v>750</v>
      </c>
      <c r="L300" s="119"/>
      <c r="N300" s="119"/>
    </row>
    <row r="301" spans="1:14">
      <c r="A301" s="30" t="s">
        <v>127</v>
      </c>
      <c r="B301" s="184">
        <v>40765</v>
      </c>
      <c r="C301" s="13" t="s">
        <v>152</v>
      </c>
      <c r="D301" s="46" t="s">
        <v>176</v>
      </c>
      <c r="E301" s="30">
        <v>155</v>
      </c>
      <c r="F301" s="31">
        <v>6</v>
      </c>
      <c r="G301" s="13">
        <f>E301*F301/2</f>
        <v>465</v>
      </c>
      <c r="H301" s="13">
        <f>G301</f>
        <v>465</v>
      </c>
      <c r="I301" s="13"/>
      <c r="J301" s="13"/>
      <c r="K301" s="121">
        <f t="shared" si="20"/>
        <v>930</v>
      </c>
      <c r="L301" s="119"/>
      <c r="N301" s="119"/>
    </row>
    <row r="302" spans="1:14">
      <c r="A302" s="30" t="s">
        <v>127</v>
      </c>
      <c r="B302" s="184">
        <v>40765</v>
      </c>
      <c r="C302" s="13" t="s">
        <v>152</v>
      </c>
      <c r="D302" s="46" t="s">
        <v>178</v>
      </c>
      <c r="E302" s="30">
        <v>75</v>
      </c>
      <c r="F302" s="31">
        <v>2</v>
      </c>
      <c r="G302" s="13">
        <f>E302*F302/2</f>
        <v>75</v>
      </c>
      <c r="H302" s="13">
        <f>E302*F302/2</f>
        <v>75</v>
      </c>
      <c r="I302" s="13"/>
      <c r="J302" s="13"/>
      <c r="K302" s="121">
        <f t="shared" si="20"/>
        <v>150</v>
      </c>
      <c r="L302" s="119"/>
      <c r="N302" s="119"/>
    </row>
    <row r="303" spans="1:14">
      <c r="A303" s="30" t="s">
        <v>127</v>
      </c>
      <c r="B303" s="184">
        <f>B300+1</f>
        <v>40765</v>
      </c>
      <c r="C303" s="13" t="s">
        <v>152</v>
      </c>
      <c r="D303" s="46" t="s">
        <v>176</v>
      </c>
      <c r="E303" s="30">
        <v>125</v>
      </c>
      <c r="F303" s="31">
        <v>6</v>
      </c>
      <c r="G303" s="13"/>
      <c r="H303" s="13"/>
      <c r="I303" s="13">
        <f>(E303*F303/2)</f>
        <v>375</v>
      </c>
      <c r="J303" s="13">
        <f>I303</f>
        <v>375</v>
      </c>
      <c r="K303" s="121">
        <f t="shared" si="20"/>
        <v>750</v>
      </c>
      <c r="L303" s="119"/>
      <c r="N303" s="119"/>
    </row>
    <row r="304" spans="1:14">
      <c r="A304" s="30" t="s">
        <v>128</v>
      </c>
      <c r="B304" s="184">
        <v>40766</v>
      </c>
      <c r="C304" s="13" t="s">
        <v>152</v>
      </c>
      <c r="D304" s="46" t="s">
        <v>176</v>
      </c>
      <c r="E304" s="30">
        <v>155</v>
      </c>
      <c r="F304" s="31">
        <v>6</v>
      </c>
      <c r="G304" s="13">
        <f>E304*F304/2</f>
        <v>465</v>
      </c>
      <c r="H304" s="13">
        <f>G304</f>
        <v>465</v>
      </c>
      <c r="I304" s="13"/>
      <c r="J304" s="13"/>
      <c r="K304" s="121">
        <f t="shared" si="20"/>
        <v>930</v>
      </c>
      <c r="L304" s="119"/>
      <c r="N304" s="119"/>
    </row>
    <row r="305" spans="1:14">
      <c r="A305" s="30" t="s">
        <v>128</v>
      </c>
      <c r="B305" s="184">
        <v>40766</v>
      </c>
      <c r="C305" s="13" t="s">
        <v>152</v>
      </c>
      <c r="D305" s="46" t="s">
        <v>178</v>
      </c>
      <c r="E305" s="30">
        <v>75</v>
      </c>
      <c r="F305" s="31">
        <v>2</v>
      </c>
      <c r="G305" s="13">
        <f>E305*F305/2</f>
        <v>75</v>
      </c>
      <c r="H305" s="13">
        <f>E305*F305/2</f>
        <v>75</v>
      </c>
      <c r="I305" s="13"/>
      <c r="J305" s="13"/>
      <c r="K305" s="121">
        <f t="shared" si="20"/>
        <v>150</v>
      </c>
      <c r="L305" s="119"/>
      <c r="N305" s="119"/>
    </row>
    <row r="306" spans="1:14">
      <c r="A306" s="30" t="s">
        <v>128</v>
      </c>
      <c r="B306" s="184">
        <f>B303+1</f>
        <v>40766</v>
      </c>
      <c r="C306" s="13" t="s">
        <v>152</v>
      </c>
      <c r="D306" s="46" t="s">
        <v>176</v>
      </c>
      <c r="E306" s="30">
        <v>125</v>
      </c>
      <c r="F306" s="31">
        <v>6</v>
      </c>
      <c r="G306" s="13"/>
      <c r="H306" s="13"/>
      <c r="I306" s="13">
        <f>(E306*F306/2)</f>
        <v>375</v>
      </c>
      <c r="J306" s="13">
        <f>I306</f>
        <v>375</v>
      </c>
      <c r="K306" s="121">
        <f t="shared" si="20"/>
        <v>750</v>
      </c>
      <c r="L306" s="119"/>
      <c r="N306" s="119"/>
    </row>
    <row r="307" spans="1:14">
      <c r="A307" s="30" t="s">
        <v>129</v>
      </c>
      <c r="B307" s="184">
        <f>B304+1</f>
        <v>40767</v>
      </c>
      <c r="C307" s="13" t="s">
        <v>152</v>
      </c>
      <c r="D307" s="46" t="s">
        <v>176</v>
      </c>
      <c r="E307" s="30">
        <v>155</v>
      </c>
      <c r="F307" s="31">
        <v>6</v>
      </c>
      <c r="G307" s="13">
        <f>E307*F307/2</f>
        <v>465</v>
      </c>
      <c r="H307" s="13">
        <f>G307</f>
        <v>465</v>
      </c>
      <c r="I307" s="13"/>
      <c r="J307" s="13"/>
      <c r="K307" s="121">
        <f t="shared" si="20"/>
        <v>930</v>
      </c>
      <c r="L307" s="119"/>
      <c r="N307" s="119"/>
    </row>
    <row r="308" spans="1:14">
      <c r="A308" s="30" t="s">
        <v>129</v>
      </c>
      <c r="B308" s="184">
        <v>40767</v>
      </c>
      <c r="C308" s="13" t="s">
        <v>152</v>
      </c>
      <c r="D308" s="46" t="s">
        <v>178</v>
      </c>
      <c r="E308" s="30">
        <v>75</v>
      </c>
      <c r="F308" s="31">
        <v>2</v>
      </c>
      <c r="G308" s="13">
        <f>E308*F308/2</f>
        <v>75</v>
      </c>
      <c r="H308" s="13">
        <f>E308*F308/2</f>
        <v>75</v>
      </c>
      <c r="I308" s="13"/>
      <c r="J308" s="13"/>
      <c r="K308" s="121">
        <f t="shared" si="20"/>
        <v>150</v>
      </c>
      <c r="L308" s="119"/>
      <c r="N308" s="119"/>
    </row>
    <row r="309" spans="1:14">
      <c r="A309" s="30" t="s">
        <v>129</v>
      </c>
      <c r="B309" s="184">
        <v>40767</v>
      </c>
      <c r="C309" s="13" t="s">
        <v>152</v>
      </c>
      <c r="D309" s="46" t="s">
        <v>176</v>
      </c>
      <c r="E309" s="30">
        <v>125</v>
      </c>
      <c r="F309" s="31">
        <v>6</v>
      </c>
      <c r="G309" s="13"/>
      <c r="H309" s="13"/>
      <c r="I309" s="13">
        <f>(E309*F309/2)</f>
        <v>375</v>
      </c>
      <c r="J309" s="13">
        <f>I309</f>
        <v>375</v>
      </c>
      <c r="K309" s="121">
        <f t="shared" si="20"/>
        <v>750</v>
      </c>
      <c r="L309" s="119"/>
      <c r="N309" s="119"/>
    </row>
    <row r="310" spans="1:14">
      <c r="A310" s="30" t="s">
        <v>120</v>
      </c>
      <c r="B310" s="184">
        <f>B309+1</f>
        <v>40768</v>
      </c>
      <c r="C310" s="13" t="s">
        <v>152</v>
      </c>
      <c r="D310" s="46" t="s">
        <v>176</v>
      </c>
      <c r="E310" s="30">
        <v>155</v>
      </c>
      <c r="F310" s="31">
        <v>6</v>
      </c>
      <c r="G310" s="13">
        <f>E310*F310/2</f>
        <v>465</v>
      </c>
      <c r="H310" s="13">
        <f>G310</f>
        <v>465</v>
      </c>
      <c r="I310" s="13"/>
      <c r="J310" s="13"/>
      <c r="K310" s="121">
        <f t="shared" ref="K310:K324" si="27">SUM(G310:J310)</f>
        <v>930</v>
      </c>
      <c r="L310" s="119"/>
      <c r="N310" s="119"/>
    </row>
    <row r="311" spans="1:14" ht="25.5">
      <c r="A311" s="30" t="s">
        <v>120</v>
      </c>
      <c r="B311" s="184">
        <v>40768</v>
      </c>
      <c r="C311" s="13" t="s">
        <v>152</v>
      </c>
      <c r="D311" s="46" t="s">
        <v>177</v>
      </c>
      <c r="E311" s="30">
        <v>75</v>
      </c>
      <c r="F311" s="31">
        <v>2</v>
      </c>
      <c r="G311" s="13">
        <f>E311*F311/2</f>
        <v>75</v>
      </c>
      <c r="H311" s="13">
        <f>E311*F311/2</f>
        <v>75</v>
      </c>
      <c r="I311" s="13"/>
      <c r="J311" s="13"/>
      <c r="K311" s="121">
        <f t="shared" si="27"/>
        <v>150</v>
      </c>
      <c r="L311" s="119"/>
      <c r="N311" s="119"/>
    </row>
    <row r="312" spans="1:14">
      <c r="A312" s="30" t="s">
        <v>120</v>
      </c>
      <c r="B312" s="184">
        <v>40768</v>
      </c>
      <c r="C312" s="13" t="s">
        <v>152</v>
      </c>
      <c r="D312" s="46" t="s">
        <v>176</v>
      </c>
      <c r="E312" s="30">
        <v>125</v>
      </c>
      <c r="F312" s="31">
        <v>6</v>
      </c>
      <c r="G312" s="13"/>
      <c r="H312" s="13"/>
      <c r="I312" s="13">
        <f>(E312*F312/2)</f>
        <v>375</v>
      </c>
      <c r="J312" s="13">
        <f>I312</f>
        <v>375</v>
      </c>
      <c r="K312" s="121">
        <f t="shared" si="27"/>
        <v>750</v>
      </c>
      <c r="L312" s="119"/>
      <c r="N312" s="119"/>
    </row>
    <row r="313" spans="1:14">
      <c r="A313" s="30" t="s">
        <v>121</v>
      </c>
      <c r="B313" s="184">
        <f>B312+1</f>
        <v>40769</v>
      </c>
      <c r="C313" s="13" t="s">
        <v>122</v>
      </c>
      <c r="D313" s="46" t="s">
        <v>154</v>
      </c>
      <c r="E313" s="30">
        <v>40</v>
      </c>
      <c r="F313" s="31">
        <v>2</v>
      </c>
      <c r="G313" s="13">
        <f>F313*E313</f>
        <v>80</v>
      </c>
      <c r="H313" s="13"/>
      <c r="I313" s="13"/>
      <c r="J313" s="13"/>
      <c r="K313" s="121">
        <f t="shared" si="27"/>
        <v>80</v>
      </c>
      <c r="L313" s="119"/>
      <c r="N313" s="119"/>
    </row>
    <row r="314" spans="1:14">
      <c r="A314" s="30" t="s">
        <v>121</v>
      </c>
      <c r="B314" s="184">
        <f>B312+1</f>
        <v>40769</v>
      </c>
      <c r="C314" s="13" t="s">
        <v>132</v>
      </c>
      <c r="D314" s="46" t="s">
        <v>137</v>
      </c>
      <c r="E314" s="30">
        <v>15</v>
      </c>
      <c r="F314" s="31">
        <v>5</v>
      </c>
      <c r="G314" s="13">
        <f>F314*E314</f>
        <v>75</v>
      </c>
      <c r="H314" s="13"/>
      <c r="I314" s="13"/>
      <c r="J314" s="13"/>
      <c r="K314" s="121">
        <f t="shared" si="27"/>
        <v>75</v>
      </c>
      <c r="L314" s="119"/>
      <c r="N314" s="119"/>
    </row>
    <row r="315" spans="1:14">
      <c r="A315" s="30" t="s">
        <v>123</v>
      </c>
      <c r="B315" s="184">
        <f t="shared" ref="B315:B374" si="28">B314+1</f>
        <v>40770</v>
      </c>
      <c r="C315" s="13"/>
      <c r="D315" s="46"/>
      <c r="E315" s="30"/>
      <c r="F315" s="31"/>
      <c r="G315" s="13"/>
      <c r="H315" s="13"/>
      <c r="I315" s="13"/>
      <c r="J315" s="13"/>
      <c r="K315" s="121">
        <f t="shared" si="27"/>
        <v>0</v>
      </c>
      <c r="L315" s="119"/>
      <c r="N315" s="119"/>
    </row>
    <row r="316" spans="1:14">
      <c r="A316" s="30" t="s">
        <v>124</v>
      </c>
      <c r="B316" s="184">
        <f t="shared" si="28"/>
        <v>40771</v>
      </c>
      <c r="C316" s="13" t="s">
        <v>125</v>
      </c>
      <c r="D316" s="46" t="s">
        <v>126</v>
      </c>
      <c r="E316" s="30">
        <v>50</v>
      </c>
      <c r="F316" s="31">
        <v>5</v>
      </c>
      <c r="G316" s="13">
        <f>F316*E316</f>
        <v>250</v>
      </c>
      <c r="H316" s="13"/>
      <c r="I316" s="13"/>
      <c r="J316" s="13"/>
      <c r="K316" s="121">
        <f t="shared" si="27"/>
        <v>250</v>
      </c>
      <c r="L316" s="119"/>
      <c r="N316" s="119"/>
    </row>
    <row r="317" spans="1:14">
      <c r="A317" s="30" t="s">
        <v>127</v>
      </c>
      <c r="B317" s="184">
        <f t="shared" si="28"/>
        <v>40772</v>
      </c>
      <c r="C317" s="13" t="s">
        <v>122</v>
      </c>
      <c r="D317" s="46" t="s">
        <v>165</v>
      </c>
      <c r="E317" s="30">
        <v>35</v>
      </c>
      <c r="F317" s="31">
        <v>2</v>
      </c>
      <c r="G317" s="13">
        <f>F317*E317</f>
        <v>70</v>
      </c>
      <c r="H317" s="13"/>
      <c r="I317" s="13"/>
      <c r="J317" s="13"/>
      <c r="K317" s="121">
        <f t="shared" si="27"/>
        <v>70</v>
      </c>
      <c r="L317" s="119"/>
      <c r="N317" s="119"/>
    </row>
    <row r="318" spans="1:14">
      <c r="A318" s="30" t="s">
        <v>128</v>
      </c>
      <c r="B318" s="184">
        <f t="shared" si="28"/>
        <v>40773</v>
      </c>
      <c r="C318" s="13" t="s">
        <v>135</v>
      </c>
      <c r="D318" s="46" t="s">
        <v>136</v>
      </c>
      <c r="E318" s="30">
        <v>25</v>
      </c>
      <c r="F318" s="31">
        <v>3</v>
      </c>
      <c r="G318" s="13">
        <f>F318*E318</f>
        <v>75</v>
      </c>
      <c r="H318" s="13"/>
      <c r="I318" s="13"/>
      <c r="J318" s="13"/>
      <c r="K318" s="121">
        <f t="shared" si="27"/>
        <v>75</v>
      </c>
      <c r="L318" s="119"/>
      <c r="N318" s="119"/>
    </row>
    <row r="319" spans="1:14">
      <c r="A319" s="30" t="s">
        <v>129</v>
      </c>
      <c r="B319" s="184">
        <f>B317+1</f>
        <v>40773</v>
      </c>
      <c r="C319" s="13" t="s">
        <v>132</v>
      </c>
      <c r="D319" s="46" t="s">
        <v>133</v>
      </c>
      <c r="E319" s="30">
        <v>45</v>
      </c>
      <c r="F319" s="31">
        <v>5</v>
      </c>
      <c r="G319" s="13">
        <f>F319*E319</f>
        <v>225</v>
      </c>
      <c r="H319" s="13"/>
      <c r="I319" s="13"/>
      <c r="J319" s="13"/>
      <c r="K319" s="121">
        <f t="shared" si="27"/>
        <v>225</v>
      </c>
      <c r="L319" s="119"/>
      <c r="N319" s="119"/>
    </row>
    <row r="320" spans="1:14">
      <c r="A320" s="30" t="s">
        <v>129</v>
      </c>
      <c r="B320" s="184">
        <f>B318+1</f>
        <v>40774</v>
      </c>
      <c r="C320" s="13" t="s">
        <v>118</v>
      </c>
      <c r="D320" s="46" t="s">
        <v>133</v>
      </c>
      <c r="E320" s="30">
        <v>50</v>
      </c>
      <c r="F320" s="31">
        <v>5</v>
      </c>
      <c r="G320" s="13">
        <f>F320*E320</f>
        <v>250</v>
      </c>
      <c r="H320" s="13"/>
      <c r="I320" s="13"/>
      <c r="J320" s="13"/>
      <c r="K320" s="121">
        <f t="shared" si="27"/>
        <v>250</v>
      </c>
      <c r="L320" s="119"/>
      <c r="N320" s="119"/>
    </row>
    <row r="321" spans="1:14">
      <c r="A321" s="30" t="s">
        <v>120</v>
      </c>
      <c r="B321" s="184">
        <f>B320+1</f>
        <v>40775</v>
      </c>
      <c r="C321" s="13" t="s">
        <v>122</v>
      </c>
      <c r="D321" s="46" t="s">
        <v>179</v>
      </c>
      <c r="E321" s="30">
        <v>90</v>
      </c>
      <c r="F321" s="31">
        <v>2</v>
      </c>
      <c r="G321" s="13">
        <f>F321*E321*0.15</f>
        <v>27</v>
      </c>
      <c r="H321" s="13">
        <f>E321*F321*0.85</f>
        <v>153</v>
      </c>
      <c r="I321" s="13"/>
      <c r="J321" s="13"/>
      <c r="K321" s="121">
        <f t="shared" si="27"/>
        <v>180</v>
      </c>
      <c r="L321" s="119"/>
      <c r="N321" s="119"/>
    </row>
    <row r="322" spans="1:14">
      <c r="A322" s="30" t="s">
        <v>120</v>
      </c>
      <c r="B322" s="184">
        <f>B320+1</f>
        <v>40775</v>
      </c>
      <c r="C322" s="13" t="s">
        <v>125</v>
      </c>
      <c r="D322" s="46" t="s">
        <v>134</v>
      </c>
      <c r="E322" s="30">
        <v>20</v>
      </c>
      <c r="F322" s="31">
        <v>5</v>
      </c>
      <c r="G322" s="13">
        <f>F322*E322</f>
        <v>100</v>
      </c>
      <c r="H322" s="13"/>
      <c r="I322" s="13"/>
      <c r="J322" s="13"/>
      <c r="K322" s="121">
        <f t="shared" si="27"/>
        <v>100</v>
      </c>
      <c r="L322" s="119"/>
      <c r="N322" s="119"/>
    </row>
    <row r="323" spans="1:14">
      <c r="A323" s="30" t="s">
        <v>121</v>
      </c>
      <c r="B323" s="184">
        <f>B321+1</f>
        <v>40776</v>
      </c>
      <c r="C323" s="13" t="s">
        <v>122</v>
      </c>
      <c r="D323" s="46" t="s">
        <v>179</v>
      </c>
      <c r="E323" s="30">
        <v>90</v>
      </c>
      <c r="F323" s="31">
        <v>2</v>
      </c>
      <c r="G323" s="13">
        <f>F323*E323*0.15</f>
        <v>27</v>
      </c>
      <c r="H323" s="13">
        <f>E323*F323*0.85</f>
        <v>153</v>
      </c>
      <c r="I323" s="13"/>
      <c r="J323" s="13"/>
      <c r="K323" s="121">
        <f t="shared" ref="K323" si="29">SUM(G323:J323)</f>
        <v>180</v>
      </c>
      <c r="L323" s="119"/>
      <c r="N323" s="119"/>
    </row>
    <row r="324" spans="1:14">
      <c r="A324" s="30" t="s">
        <v>121</v>
      </c>
      <c r="B324" s="184">
        <f>B322+1</f>
        <v>40776</v>
      </c>
      <c r="C324" s="13" t="s">
        <v>132</v>
      </c>
      <c r="D324" s="46" t="s">
        <v>137</v>
      </c>
      <c r="E324" s="30">
        <v>15</v>
      </c>
      <c r="F324" s="31">
        <v>5</v>
      </c>
      <c r="G324" s="13">
        <f>F324*E324</f>
        <v>75</v>
      </c>
      <c r="H324" s="13"/>
      <c r="I324" s="13"/>
      <c r="J324" s="13"/>
      <c r="K324" s="121">
        <f t="shared" si="27"/>
        <v>75</v>
      </c>
      <c r="L324" s="119"/>
      <c r="N324" s="119"/>
    </row>
    <row r="325" spans="1:14">
      <c r="A325" s="30" t="s">
        <v>123</v>
      </c>
      <c r="B325" s="184">
        <f t="shared" si="28"/>
        <v>40777</v>
      </c>
      <c r="C325" s="13" t="s">
        <v>122</v>
      </c>
      <c r="D325" s="46" t="s">
        <v>179</v>
      </c>
      <c r="E325" s="30">
        <v>90</v>
      </c>
      <c r="F325" s="31">
        <v>2</v>
      </c>
      <c r="G325" s="13">
        <f>F325*E325*0.15</f>
        <v>27</v>
      </c>
      <c r="H325" s="13">
        <f>E325*F325*0.85</f>
        <v>153</v>
      </c>
      <c r="I325" s="13"/>
      <c r="J325" s="13"/>
      <c r="K325" s="121">
        <f t="shared" ref="K325:K388" si="30">SUM(G325:J325)</f>
        <v>180</v>
      </c>
      <c r="L325" s="119"/>
      <c r="N325" s="119"/>
    </row>
    <row r="326" spans="1:14">
      <c r="A326" s="30" t="s">
        <v>124</v>
      </c>
      <c r="B326" s="184">
        <f>B325+1</f>
        <v>40778</v>
      </c>
      <c r="C326" s="13" t="s">
        <v>122</v>
      </c>
      <c r="D326" s="46" t="s">
        <v>179</v>
      </c>
      <c r="E326" s="30">
        <v>90</v>
      </c>
      <c r="F326" s="31">
        <v>2</v>
      </c>
      <c r="G326" s="13">
        <f>F326*E326*0.15</f>
        <v>27</v>
      </c>
      <c r="H326" s="13">
        <f>E326*F326*0.85</f>
        <v>153</v>
      </c>
      <c r="I326" s="13"/>
      <c r="J326" s="13"/>
      <c r="K326" s="121">
        <f t="shared" si="30"/>
        <v>180</v>
      </c>
      <c r="L326" s="119"/>
      <c r="N326" s="119"/>
    </row>
    <row r="327" spans="1:14">
      <c r="A327" s="30" t="s">
        <v>124</v>
      </c>
      <c r="B327" s="184">
        <f>B325+1</f>
        <v>40778</v>
      </c>
      <c r="C327" s="13" t="s">
        <v>125</v>
      </c>
      <c r="D327" s="46" t="s">
        <v>126</v>
      </c>
      <c r="E327" s="30">
        <v>50</v>
      </c>
      <c r="F327" s="31">
        <v>5</v>
      </c>
      <c r="G327" s="13">
        <f>F327*E327</f>
        <v>250</v>
      </c>
      <c r="H327" s="13"/>
      <c r="I327" s="13"/>
      <c r="J327" s="13"/>
      <c r="K327" s="121">
        <f t="shared" si="30"/>
        <v>250</v>
      </c>
      <c r="L327" s="119"/>
      <c r="N327" s="119"/>
    </row>
    <row r="328" spans="1:14">
      <c r="A328" s="30" t="s">
        <v>127</v>
      </c>
      <c r="B328" s="184">
        <f>B326+1</f>
        <v>40779</v>
      </c>
      <c r="C328" s="13" t="s">
        <v>122</v>
      </c>
      <c r="D328" s="46" t="s">
        <v>179</v>
      </c>
      <c r="E328" s="30">
        <v>90</v>
      </c>
      <c r="F328" s="31">
        <v>2</v>
      </c>
      <c r="G328" s="13">
        <f>F328*E328*0.15</f>
        <v>27</v>
      </c>
      <c r="H328" s="13">
        <f>E328*F328*0.85</f>
        <v>153</v>
      </c>
      <c r="I328" s="13"/>
      <c r="J328" s="13"/>
      <c r="K328" s="121">
        <f t="shared" si="30"/>
        <v>180</v>
      </c>
      <c r="L328" s="119"/>
      <c r="N328" s="119"/>
    </row>
    <row r="329" spans="1:14">
      <c r="A329" s="30" t="s">
        <v>127</v>
      </c>
      <c r="B329" s="184">
        <f>B327+1</f>
        <v>40779</v>
      </c>
      <c r="C329" s="13" t="s">
        <v>122</v>
      </c>
      <c r="D329" s="46" t="s">
        <v>165</v>
      </c>
      <c r="E329" s="30">
        <v>35</v>
      </c>
      <c r="F329" s="31">
        <v>2</v>
      </c>
      <c r="G329" s="13">
        <f>F329*E329</f>
        <v>70</v>
      </c>
      <c r="H329" s="13"/>
      <c r="I329" s="13"/>
      <c r="J329" s="13"/>
      <c r="K329" s="121">
        <f t="shared" si="30"/>
        <v>70</v>
      </c>
      <c r="L329" s="119"/>
      <c r="N329" s="119"/>
    </row>
    <row r="330" spans="1:14">
      <c r="A330" s="30" t="s">
        <v>128</v>
      </c>
      <c r="B330" s="184">
        <f>B328+1</f>
        <v>40780</v>
      </c>
      <c r="C330" s="13" t="s">
        <v>122</v>
      </c>
      <c r="D330" s="46" t="s">
        <v>179</v>
      </c>
      <c r="E330" s="30">
        <v>90</v>
      </c>
      <c r="F330" s="31">
        <v>2</v>
      </c>
      <c r="G330" s="13">
        <f>F330*E330*0.15</f>
        <v>27</v>
      </c>
      <c r="H330" s="13">
        <f>E330*F330*0.85</f>
        <v>153</v>
      </c>
      <c r="I330" s="13"/>
      <c r="J330" s="13"/>
      <c r="K330" s="121">
        <f t="shared" si="30"/>
        <v>180</v>
      </c>
      <c r="L330" s="119"/>
      <c r="N330" s="119"/>
    </row>
    <row r="331" spans="1:14">
      <c r="A331" s="30" t="s">
        <v>129</v>
      </c>
      <c r="B331" s="184">
        <f>B330+1</f>
        <v>40781</v>
      </c>
      <c r="C331" s="13" t="s">
        <v>122</v>
      </c>
      <c r="D331" s="46" t="s">
        <v>179</v>
      </c>
      <c r="E331" s="30">
        <v>90</v>
      </c>
      <c r="F331" s="31">
        <v>2</v>
      </c>
      <c r="G331" s="13">
        <f>F331*E331*0.15</f>
        <v>27</v>
      </c>
      <c r="H331" s="13">
        <f>E331*F331*0.85</f>
        <v>153</v>
      </c>
      <c r="I331" s="13"/>
      <c r="J331" s="13"/>
      <c r="K331" s="121">
        <f t="shared" si="30"/>
        <v>180</v>
      </c>
      <c r="L331" s="119"/>
      <c r="N331" s="119"/>
    </row>
    <row r="332" spans="1:14">
      <c r="A332" s="30" t="s">
        <v>129</v>
      </c>
      <c r="B332" s="184">
        <f>B331</f>
        <v>40781</v>
      </c>
      <c r="C332" s="13" t="s">
        <v>118</v>
      </c>
      <c r="D332" s="46" t="s">
        <v>180</v>
      </c>
      <c r="E332" s="30">
        <v>32</v>
      </c>
      <c r="F332" s="31">
        <v>5</v>
      </c>
      <c r="G332" s="103">
        <f>((E332*F332)/2)*9%</f>
        <v>7.1999999999999993</v>
      </c>
      <c r="H332" s="103">
        <f>((E332*F332)/2)*91%</f>
        <v>72.8</v>
      </c>
      <c r="I332" s="103">
        <f>((E332*F332)/2)*9%</f>
        <v>7.1999999999999993</v>
      </c>
      <c r="J332" s="103">
        <f>((E332*F332)/2)*91%</f>
        <v>72.8</v>
      </c>
      <c r="K332" s="123">
        <f>SUM(G332:J332)</f>
        <v>160</v>
      </c>
      <c r="L332" s="119"/>
      <c r="N332" s="119"/>
    </row>
    <row r="333" spans="1:14">
      <c r="A333" s="30" t="s">
        <v>129</v>
      </c>
      <c r="B333" s="184">
        <f>B330+1</f>
        <v>40781</v>
      </c>
      <c r="C333" s="13" t="s">
        <v>132</v>
      </c>
      <c r="D333" s="46" t="s">
        <v>133</v>
      </c>
      <c r="E333" s="30">
        <v>45</v>
      </c>
      <c r="F333" s="31">
        <v>5</v>
      </c>
      <c r="G333" s="13">
        <f>F333*E333</f>
        <v>225</v>
      </c>
      <c r="H333" s="13"/>
      <c r="I333" s="13"/>
      <c r="J333" s="13"/>
      <c r="K333" s="121">
        <f t="shared" si="30"/>
        <v>225</v>
      </c>
      <c r="L333" s="119"/>
      <c r="N333" s="119"/>
    </row>
    <row r="334" spans="1:14">
      <c r="A334" s="30" t="s">
        <v>129</v>
      </c>
      <c r="B334" s="184">
        <f>B330+1</f>
        <v>40781</v>
      </c>
      <c r="C334" s="13" t="s">
        <v>118</v>
      </c>
      <c r="D334" s="46" t="s">
        <v>133</v>
      </c>
      <c r="E334" s="30">
        <v>50</v>
      </c>
      <c r="F334" s="31">
        <v>5</v>
      </c>
      <c r="G334" s="13">
        <f>F334*E334</f>
        <v>250</v>
      </c>
      <c r="H334" s="13"/>
      <c r="I334" s="13"/>
      <c r="J334" s="13"/>
      <c r="K334" s="121">
        <f t="shared" si="30"/>
        <v>250</v>
      </c>
      <c r="L334" s="119"/>
      <c r="N334" s="119"/>
    </row>
    <row r="335" spans="1:14">
      <c r="A335" s="30" t="s">
        <v>120</v>
      </c>
      <c r="B335" s="184">
        <f>B333+1</f>
        <v>40782</v>
      </c>
      <c r="C335" s="13" t="s">
        <v>118</v>
      </c>
      <c r="D335" s="46" t="s">
        <v>180</v>
      </c>
      <c r="E335" s="30">
        <v>32</v>
      </c>
      <c r="F335" s="31">
        <v>5</v>
      </c>
      <c r="G335" s="103">
        <f>((E335*F335)/2)*9%</f>
        <v>7.1999999999999993</v>
      </c>
      <c r="H335" s="103">
        <f>((E335*F335)/2)*91%</f>
        <v>72.8</v>
      </c>
      <c r="I335" s="103">
        <f>((E335*F335)/2)*9%</f>
        <v>7.1999999999999993</v>
      </c>
      <c r="J335" s="103">
        <f>((E335*F335)/2)*91%</f>
        <v>72.8</v>
      </c>
      <c r="K335" s="121">
        <f t="shared" ref="K335" si="31">SUM(G335:J335)</f>
        <v>160</v>
      </c>
      <c r="L335" s="119"/>
      <c r="N335" s="119"/>
    </row>
    <row r="336" spans="1:14">
      <c r="A336" s="30" t="s">
        <v>120</v>
      </c>
      <c r="B336" s="184">
        <f>B334+1</f>
        <v>40782</v>
      </c>
      <c r="C336" s="13" t="s">
        <v>125</v>
      </c>
      <c r="D336" s="46" t="s">
        <v>134</v>
      </c>
      <c r="E336" s="30">
        <v>20</v>
      </c>
      <c r="F336" s="31">
        <v>5</v>
      </c>
      <c r="G336" s="13">
        <f>F336*E336</f>
        <v>100</v>
      </c>
      <c r="H336" s="13"/>
      <c r="I336" s="13"/>
      <c r="J336" s="13"/>
      <c r="K336" s="121">
        <f t="shared" si="30"/>
        <v>100</v>
      </c>
      <c r="L336" s="119"/>
      <c r="N336" s="119"/>
    </row>
    <row r="337" spans="1:14">
      <c r="A337" s="30" t="s">
        <v>121</v>
      </c>
      <c r="B337" s="184">
        <f>B334+1</f>
        <v>40782</v>
      </c>
      <c r="C337" s="13" t="s">
        <v>118</v>
      </c>
      <c r="D337" s="46" t="s">
        <v>180</v>
      </c>
      <c r="E337" s="30">
        <v>32</v>
      </c>
      <c r="F337" s="31">
        <v>5</v>
      </c>
      <c r="G337" s="103">
        <f>((E337*F337)/2)*9%</f>
        <v>7.1999999999999993</v>
      </c>
      <c r="H337" s="103">
        <f>((E337*F337)/2)*91%</f>
        <v>72.8</v>
      </c>
      <c r="I337" s="103">
        <f>((E337*F337)/2)*9%</f>
        <v>7.1999999999999993</v>
      </c>
      <c r="J337" s="103">
        <f>((E337*F337)/2)*91%</f>
        <v>72.8</v>
      </c>
      <c r="K337" s="121">
        <f t="shared" ref="K337" si="32">SUM(G337:J337)</f>
        <v>160</v>
      </c>
      <c r="L337" s="119"/>
      <c r="N337" s="119"/>
    </row>
    <row r="338" spans="1:14" ht="25.5">
      <c r="A338" s="30" t="s">
        <v>121</v>
      </c>
      <c r="B338" s="184">
        <f>B335+1</f>
        <v>40783</v>
      </c>
      <c r="C338" s="13" t="s">
        <v>152</v>
      </c>
      <c r="D338" s="46" t="s">
        <v>181</v>
      </c>
      <c r="E338" s="30">
        <v>70</v>
      </c>
      <c r="F338" s="31">
        <v>5</v>
      </c>
      <c r="G338" s="13">
        <f>F338*E338</f>
        <v>350</v>
      </c>
      <c r="H338" s="13"/>
      <c r="I338" s="13"/>
      <c r="J338" s="13"/>
      <c r="K338" s="121">
        <f t="shared" si="30"/>
        <v>350</v>
      </c>
      <c r="L338" s="119"/>
      <c r="N338" s="119"/>
    </row>
    <row r="339" spans="1:14">
      <c r="A339" s="30" t="s">
        <v>121</v>
      </c>
      <c r="B339" s="184">
        <f>B336+1</f>
        <v>40783</v>
      </c>
      <c r="C339" s="13" t="s">
        <v>132</v>
      </c>
      <c r="D339" s="46" t="s">
        <v>137</v>
      </c>
      <c r="E339" s="30">
        <v>15</v>
      </c>
      <c r="F339" s="31">
        <v>5</v>
      </c>
      <c r="G339" s="13">
        <f>F339*E339</f>
        <v>75</v>
      </c>
      <c r="H339" s="13"/>
      <c r="I339" s="13"/>
      <c r="J339" s="13"/>
      <c r="K339" s="121">
        <f t="shared" si="30"/>
        <v>75</v>
      </c>
      <c r="L339" s="119"/>
      <c r="N339" s="119"/>
    </row>
    <row r="340" spans="1:14">
      <c r="A340" s="30" t="s">
        <v>123</v>
      </c>
      <c r="B340" s="184">
        <f t="shared" si="28"/>
        <v>40784</v>
      </c>
      <c r="C340" s="13"/>
      <c r="D340" s="46"/>
      <c r="E340" s="30"/>
      <c r="F340" s="31"/>
      <c r="G340" s="13"/>
      <c r="H340" s="13"/>
      <c r="I340" s="13"/>
      <c r="J340" s="13"/>
      <c r="K340" s="121">
        <f t="shared" si="30"/>
        <v>0</v>
      </c>
      <c r="L340" s="119"/>
      <c r="N340" s="119"/>
    </row>
    <row r="341" spans="1:14">
      <c r="A341" s="30" t="s">
        <v>124</v>
      </c>
      <c r="B341" s="184">
        <f t="shared" si="28"/>
        <v>40785</v>
      </c>
      <c r="C341" s="13" t="s">
        <v>125</v>
      </c>
      <c r="D341" s="46" t="s">
        <v>182</v>
      </c>
      <c r="E341" s="30">
        <v>60</v>
      </c>
      <c r="F341" s="31">
        <v>5</v>
      </c>
      <c r="G341" s="13">
        <f t="shared" ref="G341:G348" si="33">F341*E341</f>
        <v>300</v>
      </c>
      <c r="H341" s="13"/>
      <c r="I341" s="13"/>
      <c r="J341" s="13"/>
      <c r="K341" s="121">
        <f t="shared" si="30"/>
        <v>300</v>
      </c>
      <c r="L341" s="119"/>
      <c r="N341" s="119"/>
    </row>
    <row r="342" spans="1:14">
      <c r="A342" s="30" t="s">
        <v>127</v>
      </c>
      <c r="B342" s="184">
        <f t="shared" si="28"/>
        <v>40786</v>
      </c>
      <c r="C342" s="13" t="s">
        <v>122</v>
      </c>
      <c r="D342" s="46" t="s">
        <v>165</v>
      </c>
      <c r="E342" s="30">
        <v>35</v>
      </c>
      <c r="F342" s="31">
        <v>2</v>
      </c>
      <c r="G342" s="13">
        <f t="shared" si="33"/>
        <v>70</v>
      </c>
      <c r="H342" s="13"/>
      <c r="I342" s="13"/>
      <c r="J342" s="13"/>
      <c r="K342" s="121">
        <f t="shared" si="30"/>
        <v>70</v>
      </c>
      <c r="L342" s="119"/>
      <c r="N342" s="119"/>
    </row>
    <row r="343" spans="1:14">
      <c r="A343" s="30" t="s">
        <v>128</v>
      </c>
      <c r="B343" s="184">
        <f t="shared" si="28"/>
        <v>40787</v>
      </c>
      <c r="C343" s="13" t="s">
        <v>135</v>
      </c>
      <c r="D343" s="46" t="s">
        <v>136</v>
      </c>
      <c r="E343" s="30">
        <v>25</v>
      </c>
      <c r="F343" s="31">
        <v>3</v>
      </c>
      <c r="G343" s="13">
        <f t="shared" si="33"/>
        <v>75</v>
      </c>
      <c r="H343" s="13"/>
      <c r="I343" s="13"/>
      <c r="J343" s="13"/>
      <c r="K343" s="121">
        <f t="shared" ref="K343" si="34">SUM(G343:J343)</f>
        <v>75</v>
      </c>
      <c r="L343" s="119"/>
      <c r="N343" s="119"/>
    </row>
    <row r="344" spans="1:14">
      <c r="A344" s="30" t="s">
        <v>129</v>
      </c>
      <c r="B344" s="184">
        <f t="shared" si="28"/>
        <v>40788</v>
      </c>
      <c r="C344" s="13" t="s">
        <v>118</v>
      </c>
      <c r="D344" s="46" t="s">
        <v>133</v>
      </c>
      <c r="E344" s="30">
        <v>50</v>
      </c>
      <c r="F344" s="31">
        <v>5</v>
      </c>
      <c r="G344" s="13">
        <f t="shared" si="33"/>
        <v>250</v>
      </c>
      <c r="H344" s="13"/>
      <c r="I344" s="13"/>
      <c r="J344" s="13"/>
      <c r="K344" s="121">
        <f t="shared" si="30"/>
        <v>250</v>
      </c>
      <c r="L344" s="119"/>
      <c r="N344" s="119"/>
    </row>
    <row r="345" spans="1:14" ht="25.5">
      <c r="A345" s="30" t="s">
        <v>120</v>
      </c>
      <c r="B345" s="184">
        <f t="shared" si="28"/>
        <v>40789</v>
      </c>
      <c r="C345" s="13" t="s">
        <v>125</v>
      </c>
      <c r="D345" s="46" t="s">
        <v>183</v>
      </c>
      <c r="E345" s="30">
        <v>35</v>
      </c>
      <c r="F345" s="31">
        <v>5</v>
      </c>
      <c r="G345" s="13">
        <f t="shared" si="33"/>
        <v>175</v>
      </c>
      <c r="H345" s="13"/>
      <c r="I345" s="13"/>
      <c r="J345" s="13"/>
      <c r="K345" s="121">
        <f t="shared" si="30"/>
        <v>175</v>
      </c>
      <c r="L345" s="119"/>
      <c r="N345" s="119"/>
    </row>
    <row r="346" spans="1:14">
      <c r="A346" s="30" t="s">
        <v>121</v>
      </c>
      <c r="B346" s="184">
        <f>B347</f>
        <v>40789</v>
      </c>
      <c r="C346" s="13" t="s">
        <v>184</v>
      </c>
      <c r="D346" s="46" t="s">
        <v>185</v>
      </c>
      <c r="E346" s="30">
        <v>25</v>
      </c>
      <c r="F346" s="31">
        <v>6</v>
      </c>
      <c r="G346" s="13">
        <f t="shared" si="33"/>
        <v>150</v>
      </c>
      <c r="H346" s="13"/>
      <c r="I346" s="13"/>
      <c r="J346" s="13"/>
      <c r="K346" s="121">
        <f t="shared" si="30"/>
        <v>150</v>
      </c>
      <c r="L346" s="119"/>
      <c r="N346" s="119"/>
    </row>
    <row r="347" spans="1:14">
      <c r="A347" s="30" t="s">
        <v>121</v>
      </c>
      <c r="B347" s="184">
        <f>B344+1</f>
        <v>40789</v>
      </c>
      <c r="C347" s="13" t="s">
        <v>122</v>
      </c>
      <c r="D347" s="46" t="s">
        <v>154</v>
      </c>
      <c r="E347" s="30">
        <v>40</v>
      </c>
      <c r="F347" s="31">
        <v>2</v>
      </c>
      <c r="G347" s="13">
        <f t="shared" si="33"/>
        <v>80</v>
      </c>
      <c r="H347" s="13"/>
      <c r="I347" s="13"/>
      <c r="J347" s="13"/>
      <c r="K347" s="121">
        <f t="shared" si="30"/>
        <v>80</v>
      </c>
      <c r="L347" s="119"/>
      <c r="N347" s="119"/>
    </row>
    <row r="348" spans="1:14">
      <c r="A348" s="30" t="s">
        <v>121</v>
      </c>
      <c r="B348" s="184">
        <f>B345+1</f>
        <v>40790</v>
      </c>
      <c r="C348" s="13" t="s">
        <v>132</v>
      </c>
      <c r="D348" s="46" t="s">
        <v>137</v>
      </c>
      <c r="E348" s="30">
        <v>15</v>
      </c>
      <c r="F348" s="31">
        <v>5</v>
      </c>
      <c r="G348" s="13">
        <f t="shared" si="33"/>
        <v>75</v>
      </c>
      <c r="H348" s="13"/>
      <c r="I348" s="13"/>
      <c r="J348" s="13"/>
      <c r="K348" s="121">
        <f t="shared" si="30"/>
        <v>75</v>
      </c>
      <c r="L348" s="119"/>
      <c r="N348" s="119"/>
    </row>
    <row r="349" spans="1:14">
      <c r="A349" s="30" t="s">
        <v>123</v>
      </c>
      <c r="B349" s="184">
        <f t="shared" si="28"/>
        <v>40791</v>
      </c>
      <c r="C349" s="13"/>
      <c r="D349" s="46"/>
      <c r="E349" s="30"/>
      <c r="F349" s="31"/>
      <c r="G349" s="13"/>
      <c r="H349" s="13"/>
      <c r="I349" s="13"/>
      <c r="J349" s="13"/>
      <c r="K349" s="121">
        <f t="shared" si="30"/>
        <v>0</v>
      </c>
      <c r="L349" s="119"/>
      <c r="N349" s="119"/>
    </row>
    <row r="350" spans="1:14">
      <c r="A350" s="30" t="s">
        <v>124</v>
      </c>
      <c r="B350" s="184">
        <f t="shared" si="28"/>
        <v>40792</v>
      </c>
      <c r="C350" s="13" t="s">
        <v>186</v>
      </c>
      <c r="D350" s="46" t="s">
        <v>126</v>
      </c>
      <c r="E350" s="30">
        <v>60</v>
      </c>
      <c r="F350" s="31">
        <v>5</v>
      </c>
      <c r="G350" s="13">
        <f>F350*E350</f>
        <v>300</v>
      </c>
      <c r="H350" s="13"/>
      <c r="I350" s="13"/>
      <c r="J350" s="13"/>
      <c r="K350" s="121">
        <f t="shared" si="30"/>
        <v>300</v>
      </c>
      <c r="L350" s="119"/>
      <c r="N350" s="119"/>
    </row>
    <row r="351" spans="1:14">
      <c r="A351" s="30" t="s">
        <v>127</v>
      </c>
      <c r="B351" s="184">
        <f t="shared" si="28"/>
        <v>40793</v>
      </c>
      <c r="C351" s="13" t="s">
        <v>122</v>
      </c>
      <c r="D351" s="46" t="s">
        <v>165</v>
      </c>
      <c r="E351" s="30">
        <v>35</v>
      </c>
      <c r="F351" s="31">
        <v>2</v>
      </c>
      <c r="G351" s="13">
        <f>F351*E351</f>
        <v>70</v>
      </c>
      <c r="H351" s="13"/>
      <c r="I351" s="13"/>
      <c r="J351" s="13"/>
      <c r="K351" s="121">
        <f t="shared" si="30"/>
        <v>70</v>
      </c>
      <c r="L351" s="119"/>
      <c r="N351" s="119"/>
    </row>
    <row r="352" spans="1:14">
      <c r="A352" s="30" t="s">
        <v>128</v>
      </c>
      <c r="B352" s="184">
        <f t="shared" si="28"/>
        <v>40794</v>
      </c>
      <c r="C352" s="13" t="s">
        <v>135</v>
      </c>
      <c r="D352" s="46" t="s">
        <v>136</v>
      </c>
      <c r="E352" s="30">
        <v>25</v>
      </c>
      <c r="F352" s="31">
        <v>3</v>
      </c>
      <c r="G352" s="13">
        <f>F352*E352</f>
        <v>75</v>
      </c>
      <c r="H352" s="13"/>
      <c r="I352" s="13"/>
      <c r="J352" s="13"/>
      <c r="K352" s="121">
        <f t="shared" ref="K352" si="35">SUM(G352:J352)</f>
        <v>75</v>
      </c>
      <c r="L352" s="119"/>
      <c r="N352" s="119"/>
    </row>
    <row r="353" spans="1:14">
      <c r="A353" s="30" t="s">
        <v>129</v>
      </c>
      <c r="B353" s="184">
        <f t="shared" si="28"/>
        <v>40795</v>
      </c>
      <c r="C353" s="13" t="s">
        <v>186</v>
      </c>
      <c r="D353" s="46" t="s">
        <v>126</v>
      </c>
      <c r="E353" s="30">
        <v>60</v>
      </c>
      <c r="F353" s="31">
        <v>5</v>
      </c>
      <c r="G353" s="13">
        <f>F353*E353</f>
        <v>300</v>
      </c>
      <c r="H353" s="13"/>
      <c r="I353" s="13"/>
      <c r="J353" s="13"/>
      <c r="K353" s="121">
        <f t="shared" si="30"/>
        <v>300</v>
      </c>
      <c r="L353" s="119"/>
      <c r="N353" s="119"/>
    </row>
    <row r="354" spans="1:14">
      <c r="A354" s="30" t="s">
        <v>120</v>
      </c>
      <c r="B354" s="184">
        <f>B352+1</f>
        <v>40795</v>
      </c>
      <c r="C354" s="13" t="s">
        <v>118</v>
      </c>
      <c r="D354" s="46" t="s">
        <v>187</v>
      </c>
      <c r="E354" s="30">
        <v>15</v>
      </c>
      <c r="F354" s="31">
        <v>2</v>
      </c>
      <c r="G354" s="103">
        <f>((E354*F354)/2)*9%</f>
        <v>1.3499999999999999</v>
      </c>
      <c r="H354" s="103">
        <f>((E354*F354)/2)*91%</f>
        <v>13.65</v>
      </c>
      <c r="I354" s="103">
        <f>((E354*F354)/2)*9%</f>
        <v>1.3499999999999999</v>
      </c>
      <c r="J354" s="103">
        <f>((E354*F354)/2)*91%</f>
        <v>13.65</v>
      </c>
      <c r="K354" s="123">
        <f t="shared" si="30"/>
        <v>30</v>
      </c>
      <c r="L354" s="119"/>
      <c r="N354" s="119"/>
    </row>
    <row r="355" spans="1:14" ht="25.5">
      <c r="A355" s="30" t="s">
        <v>120</v>
      </c>
      <c r="B355" s="184">
        <f>B353+1</f>
        <v>40796</v>
      </c>
      <c r="C355" s="13" t="s">
        <v>125</v>
      </c>
      <c r="D355" s="46" t="s">
        <v>188</v>
      </c>
      <c r="E355" s="30">
        <v>35</v>
      </c>
      <c r="F355" s="31">
        <v>5</v>
      </c>
      <c r="G355" s="103">
        <f>F355*E355</f>
        <v>175</v>
      </c>
      <c r="H355" s="103"/>
      <c r="I355" s="103"/>
      <c r="J355" s="103"/>
      <c r="K355" s="123">
        <f t="shared" si="30"/>
        <v>175</v>
      </c>
      <c r="L355" s="119"/>
      <c r="N355" s="119"/>
    </row>
    <row r="356" spans="1:14">
      <c r="A356" s="30" t="s">
        <v>121</v>
      </c>
      <c r="B356" s="184">
        <v>40798</v>
      </c>
      <c r="C356" s="13" t="s">
        <v>118</v>
      </c>
      <c r="D356" s="46" t="s">
        <v>187</v>
      </c>
      <c r="E356" s="30">
        <v>15</v>
      </c>
      <c r="F356" s="31">
        <v>2</v>
      </c>
      <c r="G356" s="103">
        <f>((E356*F356)/2)*9%</f>
        <v>1.3499999999999999</v>
      </c>
      <c r="H356" s="103">
        <f>((E356*F356)/2)*91%</f>
        <v>13.65</v>
      </c>
      <c r="I356" s="103">
        <f>((E356*F356)/2)*9%</f>
        <v>1.3499999999999999</v>
      </c>
      <c r="J356" s="103">
        <f>((E356*F356)/2)*91%</f>
        <v>13.65</v>
      </c>
      <c r="K356" s="123">
        <f t="shared" si="30"/>
        <v>30</v>
      </c>
      <c r="L356" s="119"/>
      <c r="N356" s="119"/>
    </row>
    <row r="357" spans="1:14">
      <c r="A357" s="30" t="s">
        <v>121</v>
      </c>
      <c r="B357" s="184">
        <f>B355+1</f>
        <v>40797</v>
      </c>
      <c r="C357" s="13" t="s">
        <v>122</v>
      </c>
      <c r="D357" s="46" t="s">
        <v>154</v>
      </c>
      <c r="E357" s="30">
        <v>40</v>
      </c>
      <c r="F357" s="31">
        <v>2</v>
      </c>
      <c r="G357" s="103">
        <f>F357*E357</f>
        <v>80</v>
      </c>
      <c r="H357" s="103"/>
      <c r="I357" s="103"/>
      <c r="J357" s="103"/>
      <c r="K357" s="123">
        <f t="shared" si="30"/>
        <v>80</v>
      </c>
      <c r="L357" s="119"/>
      <c r="N357" s="119"/>
    </row>
    <row r="358" spans="1:14">
      <c r="A358" s="30" t="s">
        <v>121</v>
      </c>
      <c r="B358" s="184">
        <f>B355+1</f>
        <v>40797</v>
      </c>
      <c r="C358" s="13" t="s">
        <v>132</v>
      </c>
      <c r="D358" s="46" t="s">
        <v>137</v>
      </c>
      <c r="E358" s="30">
        <v>15</v>
      </c>
      <c r="F358" s="31">
        <v>5</v>
      </c>
      <c r="G358" s="103">
        <f>F358*E358</f>
        <v>75</v>
      </c>
      <c r="H358" s="103"/>
      <c r="I358" s="103"/>
      <c r="J358" s="103"/>
      <c r="K358" s="123">
        <f t="shared" si="30"/>
        <v>75</v>
      </c>
      <c r="L358" s="119"/>
      <c r="N358" s="119"/>
    </row>
    <row r="359" spans="1:14">
      <c r="A359" s="30" t="s">
        <v>123</v>
      </c>
      <c r="B359" s="184">
        <f t="shared" si="28"/>
        <v>40798</v>
      </c>
      <c r="C359" s="13"/>
      <c r="D359" s="46"/>
      <c r="E359" s="30"/>
      <c r="F359" s="31"/>
      <c r="G359" s="13"/>
      <c r="H359" s="13"/>
      <c r="I359" s="13"/>
      <c r="J359" s="13"/>
      <c r="K359" s="121">
        <f t="shared" si="30"/>
        <v>0</v>
      </c>
      <c r="L359" s="119"/>
      <c r="N359" s="119"/>
    </row>
    <row r="360" spans="1:14">
      <c r="A360" s="30" t="s">
        <v>124</v>
      </c>
      <c r="B360" s="184">
        <f t="shared" si="28"/>
        <v>40799</v>
      </c>
      <c r="C360" s="13" t="s">
        <v>186</v>
      </c>
      <c r="D360" s="46" t="s">
        <v>126</v>
      </c>
      <c r="E360" s="30">
        <v>60</v>
      </c>
      <c r="F360" s="31">
        <v>5</v>
      </c>
      <c r="G360" s="13">
        <f>F360*E360</f>
        <v>300</v>
      </c>
      <c r="H360" s="13"/>
      <c r="I360" s="13"/>
      <c r="J360" s="13"/>
      <c r="K360" s="121">
        <f t="shared" si="30"/>
        <v>300</v>
      </c>
      <c r="L360" s="119"/>
      <c r="N360" s="119"/>
    </row>
    <row r="361" spans="1:14">
      <c r="A361" s="30" t="s">
        <v>127</v>
      </c>
      <c r="B361" s="184">
        <f t="shared" si="28"/>
        <v>40800</v>
      </c>
      <c r="C361" s="13" t="s">
        <v>122</v>
      </c>
      <c r="D361" s="46" t="s">
        <v>165</v>
      </c>
      <c r="E361" s="30">
        <v>35</v>
      </c>
      <c r="F361" s="31">
        <v>2</v>
      </c>
      <c r="G361" s="13">
        <f>F361*E361</f>
        <v>70</v>
      </c>
      <c r="H361" s="13"/>
      <c r="I361" s="13"/>
      <c r="J361" s="13"/>
      <c r="K361" s="121">
        <f t="shared" si="30"/>
        <v>70</v>
      </c>
      <c r="L361" s="119"/>
      <c r="N361" s="119"/>
    </row>
    <row r="362" spans="1:14">
      <c r="A362" s="30" t="s">
        <v>128</v>
      </c>
      <c r="B362" s="184">
        <f t="shared" si="28"/>
        <v>40801</v>
      </c>
      <c r="C362" s="13" t="s">
        <v>118</v>
      </c>
      <c r="D362" s="46" t="s">
        <v>189</v>
      </c>
      <c r="E362" s="30">
        <v>32</v>
      </c>
      <c r="F362" s="31">
        <v>2</v>
      </c>
      <c r="G362" s="103">
        <f t="shared" ref="G362:G363" si="36">((E362*F362)/2)*9%</f>
        <v>2.88</v>
      </c>
      <c r="H362" s="103">
        <f t="shared" ref="H362:H363" si="37">((E362*F362)/2)*91%</f>
        <v>29.12</v>
      </c>
      <c r="I362" s="103">
        <f t="shared" ref="I362:I363" si="38">((E362*F362)/2)*9%</f>
        <v>2.88</v>
      </c>
      <c r="J362" s="103">
        <f t="shared" ref="J362:J363" si="39">((E362*F362)/2)*91%</f>
        <v>29.12</v>
      </c>
      <c r="K362" s="121">
        <f t="shared" si="30"/>
        <v>64</v>
      </c>
      <c r="L362" s="119"/>
      <c r="N362" s="119"/>
    </row>
    <row r="363" spans="1:14">
      <c r="A363" s="30" t="s">
        <v>129</v>
      </c>
      <c r="B363" s="184">
        <f>B364</f>
        <v>40802</v>
      </c>
      <c r="C363" s="13" t="s">
        <v>118</v>
      </c>
      <c r="D363" s="46" t="s">
        <v>189</v>
      </c>
      <c r="E363" s="30">
        <v>32</v>
      </c>
      <c r="F363" s="31">
        <v>2</v>
      </c>
      <c r="G363" s="103">
        <f t="shared" si="36"/>
        <v>2.88</v>
      </c>
      <c r="H363" s="103">
        <f t="shared" si="37"/>
        <v>29.12</v>
      </c>
      <c r="I363" s="103">
        <f t="shared" si="38"/>
        <v>2.88</v>
      </c>
      <c r="J363" s="103">
        <f t="shared" si="39"/>
        <v>29.12</v>
      </c>
      <c r="K363" s="121">
        <f t="shared" ref="K363" si="40">SUM(G363:J363)</f>
        <v>64</v>
      </c>
      <c r="L363" s="119"/>
      <c r="N363" s="119"/>
    </row>
    <row r="364" spans="1:14">
      <c r="A364" s="30" t="s">
        <v>129</v>
      </c>
      <c r="B364" s="184">
        <f>B362+1</f>
        <v>40802</v>
      </c>
      <c r="C364" s="13" t="s">
        <v>186</v>
      </c>
      <c r="D364" s="46" t="s">
        <v>126</v>
      </c>
      <c r="E364" s="30">
        <v>60</v>
      </c>
      <c r="F364" s="31">
        <v>5</v>
      </c>
      <c r="G364" s="13">
        <f>F364*E364</f>
        <v>300</v>
      </c>
      <c r="H364" s="13"/>
      <c r="I364" s="13"/>
      <c r="J364" s="13"/>
      <c r="K364" s="121">
        <f t="shared" si="30"/>
        <v>300</v>
      </c>
      <c r="L364" s="119"/>
      <c r="N364" s="119"/>
    </row>
    <row r="365" spans="1:14">
      <c r="A365" s="30" t="s">
        <v>120</v>
      </c>
      <c r="B365" s="184">
        <f>B366</f>
        <v>40803</v>
      </c>
      <c r="C365" s="13" t="s">
        <v>118</v>
      </c>
      <c r="D365" s="46" t="s">
        <v>189</v>
      </c>
      <c r="E365" s="30">
        <v>32</v>
      </c>
      <c r="F365" s="31">
        <v>2</v>
      </c>
      <c r="G365" s="103">
        <f>((E365*F365)/2)*9%</f>
        <v>2.88</v>
      </c>
      <c r="H365" s="103">
        <f>((E365*F365)/2)*91%</f>
        <v>29.12</v>
      </c>
      <c r="I365" s="103">
        <f>((E365*F365)/2)*9%</f>
        <v>2.88</v>
      </c>
      <c r="J365" s="103">
        <f>((E365*F365)/2)*91%</f>
        <v>29.12</v>
      </c>
      <c r="K365" s="121">
        <f t="shared" ref="K365" si="41">SUM(G365:J365)</f>
        <v>64</v>
      </c>
      <c r="L365" s="119"/>
      <c r="N365" s="119"/>
    </row>
    <row r="366" spans="1:14" ht="25.5">
      <c r="A366" s="30" t="s">
        <v>120</v>
      </c>
      <c r="B366" s="184">
        <f>B364+1</f>
        <v>40803</v>
      </c>
      <c r="C366" s="13" t="s">
        <v>125</v>
      </c>
      <c r="D366" s="46" t="s">
        <v>183</v>
      </c>
      <c r="E366" s="30">
        <v>35</v>
      </c>
      <c r="F366" s="31">
        <v>5</v>
      </c>
      <c r="G366" s="13">
        <f>F366*E366</f>
        <v>175</v>
      </c>
      <c r="H366" s="13"/>
      <c r="I366" s="13"/>
      <c r="J366" s="13"/>
      <c r="K366" s="121">
        <f t="shared" si="30"/>
        <v>175</v>
      </c>
      <c r="L366" s="119"/>
      <c r="N366" s="119"/>
    </row>
    <row r="367" spans="1:14">
      <c r="A367" s="30" t="s">
        <v>121</v>
      </c>
      <c r="B367" s="184">
        <f>B366+1</f>
        <v>40804</v>
      </c>
      <c r="C367" s="13" t="s">
        <v>122</v>
      </c>
      <c r="D367" s="46" t="s">
        <v>154</v>
      </c>
      <c r="E367" s="30">
        <v>40</v>
      </c>
      <c r="F367" s="31">
        <v>2</v>
      </c>
      <c r="G367" s="13">
        <f>F367*E367</f>
        <v>80</v>
      </c>
      <c r="H367" s="13"/>
      <c r="I367" s="13"/>
      <c r="J367" s="13"/>
      <c r="K367" s="121">
        <f t="shared" si="30"/>
        <v>80</v>
      </c>
      <c r="L367" s="119"/>
      <c r="N367" s="119"/>
    </row>
    <row r="368" spans="1:14" ht="25.5">
      <c r="A368" s="30" t="s">
        <v>121</v>
      </c>
      <c r="B368" s="184">
        <f>B367</f>
        <v>40804</v>
      </c>
      <c r="C368" s="13" t="s">
        <v>125</v>
      </c>
      <c r="D368" s="46" t="s">
        <v>190</v>
      </c>
      <c r="E368" s="30">
        <v>15</v>
      </c>
      <c r="F368" s="31">
        <v>6</v>
      </c>
      <c r="G368" s="13">
        <f>F368*E368</f>
        <v>90</v>
      </c>
      <c r="H368" s="13"/>
      <c r="I368" s="13"/>
      <c r="J368" s="13"/>
      <c r="K368" s="121">
        <f t="shared" si="30"/>
        <v>90</v>
      </c>
      <c r="L368" s="119"/>
      <c r="N368" s="119"/>
    </row>
    <row r="369" spans="1:14">
      <c r="A369" s="30" t="s">
        <v>121</v>
      </c>
      <c r="B369" s="184">
        <f>B366+1</f>
        <v>40804</v>
      </c>
      <c r="C369" s="13" t="s">
        <v>118</v>
      </c>
      <c r="D369" s="46" t="s">
        <v>189</v>
      </c>
      <c r="E369" s="30">
        <v>32</v>
      </c>
      <c r="F369" s="31">
        <v>2</v>
      </c>
      <c r="G369" s="103">
        <f>((E369*F369)/2)*9%</f>
        <v>2.88</v>
      </c>
      <c r="H369" s="103">
        <f>((E369*F369)/2)*91%</f>
        <v>29.12</v>
      </c>
      <c r="I369" s="103">
        <f>((E369*F369)/2)*9%</f>
        <v>2.88</v>
      </c>
      <c r="J369" s="103">
        <f>((E369*F369)/2)*91%</f>
        <v>29.12</v>
      </c>
      <c r="K369" s="123">
        <f>SUM(G369:J369)</f>
        <v>64</v>
      </c>
      <c r="L369" s="119"/>
      <c r="N369" s="119"/>
    </row>
    <row r="370" spans="1:14">
      <c r="A370" s="30" t="s">
        <v>123</v>
      </c>
      <c r="B370" s="184">
        <f t="shared" si="28"/>
        <v>40805</v>
      </c>
      <c r="C370" s="13"/>
      <c r="D370" s="46"/>
      <c r="E370" s="30"/>
      <c r="F370" s="31"/>
      <c r="G370" s="13"/>
      <c r="H370" s="13"/>
      <c r="I370" s="13"/>
      <c r="J370" s="13"/>
      <c r="K370" s="121">
        <f t="shared" si="30"/>
        <v>0</v>
      </c>
      <c r="L370" s="119"/>
      <c r="N370" s="119"/>
    </row>
    <row r="371" spans="1:14">
      <c r="A371" s="30" t="s">
        <v>124</v>
      </c>
      <c r="B371" s="184">
        <f t="shared" si="28"/>
        <v>40806</v>
      </c>
      <c r="C371" s="13"/>
      <c r="D371" s="46"/>
      <c r="E371" s="30"/>
      <c r="F371" s="31"/>
      <c r="G371" s="13"/>
      <c r="H371" s="13"/>
      <c r="I371" s="13"/>
      <c r="J371" s="13"/>
      <c r="K371" s="121">
        <f t="shared" si="30"/>
        <v>0</v>
      </c>
      <c r="L371" s="119"/>
      <c r="N371" s="119"/>
    </row>
    <row r="372" spans="1:14">
      <c r="A372" s="30" t="s">
        <v>127</v>
      </c>
      <c r="B372" s="184">
        <f t="shared" si="28"/>
        <v>40807</v>
      </c>
      <c r="C372" s="13"/>
      <c r="D372" s="46"/>
      <c r="E372" s="30"/>
      <c r="F372" s="31"/>
      <c r="G372" s="13"/>
      <c r="H372" s="13"/>
      <c r="I372" s="13"/>
      <c r="J372" s="13"/>
      <c r="K372" s="121">
        <f t="shared" si="30"/>
        <v>0</v>
      </c>
      <c r="L372" s="119"/>
      <c r="N372" s="119"/>
    </row>
    <row r="373" spans="1:14">
      <c r="A373" s="30" t="s">
        <v>128</v>
      </c>
      <c r="B373" s="184">
        <f t="shared" si="28"/>
        <v>40808</v>
      </c>
      <c r="C373" s="13" t="s">
        <v>135</v>
      </c>
      <c r="D373" s="46" t="s">
        <v>136</v>
      </c>
      <c r="E373" s="30">
        <v>25</v>
      </c>
      <c r="F373" s="31">
        <v>3</v>
      </c>
      <c r="G373" s="13">
        <f>F373*E373</f>
        <v>75</v>
      </c>
      <c r="H373" s="13"/>
      <c r="I373" s="13"/>
      <c r="J373" s="13"/>
      <c r="K373" s="121">
        <f t="shared" ref="K373" si="42">SUM(G373:J373)</f>
        <v>75</v>
      </c>
      <c r="L373" s="119"/>
      <c r="N373" s="119"/>
    </row>
    <row r="374" spans="1:14">
      <c r="A374" s="30" t="s">
        <v>129</v>
      </c>
      <c r="B374" s="184">
        <f t="shared" si="28"/>
        <v>40809</v>
      </c>
      <c r="C374" s="13"/>
      <c r="D374" s="46"/>
      <c r="E374" s="30"/>
      <c r="F374" s="31"/>
      <c r="G374" s="13"/>
      <c r="H374" s="13"/>
      <c r="I374" s="13"/>
      <c r="J374" s="13"/>
      <c r="K374" s="121">
        <f t="shared" si="30"/>
        <v>0</v>
      </c>
      <c r="L374" s="119"/>
      <c r="N374" s="119"/>
    </row>
    <row r="375" spans="1:14">
      <c r="A375" s="30" t="s">
        <v>120</v>
      </c>
      <c r="B375" s="184">
        <f>B376</f>
        <v>40810</v>
      </c>
      <c r="C375" s="13" t="s">
        <v>122</v>
      </c>
      <c r="D375" s="46" t="s">
        <v>191</v>
      </c>
      <c r="E375" s="30">
        <v>20</v>
      </c>
      <c r="F375" s="31">
        <v>2</v>
      </c>
      <c r="G375" s="13"/>
      <c r="H375" s="13">
        <f>E375*F375</f>
        <v>40</v>
      </c>
      <c r="I375" s="13"/>
      <c r="J375" s="13"/>
      <c r="K375" s="121">
        <f t="shared" si="30"/>
        <v>40</v>
      </c>
      <c r="L375" s="119"/>
      <c r="N375" s="119"/>
    </row>
    <row r="376" spans="1:14">
      <c r="A376" s="30" t="s">
        <v>120</v>
      </c>
      <c r="B376" s="184">
        <f>B374+1</f>
        <v>40810</v>
      </c>
      <c r="C376" s="13" t="s">
        <v>125</v>
      </c>
      <c r="D376" s="46" t="s">
        <v>192</v>
      </c>
      <c r="E376" s="30">
        <v>45</v>
      </c>
      <c r="F376" s="31">
        <v>5</v>
      </c>
      <c r="G376" s="13">
        <f>E376*F376</f>
        <v>225</v>
      </c>
      <c r="H376" s="13"/>
      <c r="I376" s="13"/>
      <c r="J376" s="13"/>
      <c r="K376" s="121">
        <f t="shared" si="30"/>
        <v>225</v>
      </c>
      <c r="L376" s="119"/>
      <c r="N376" s="119"/>
    </row>
    <row r="377" spans="1:14">
      <c r="A377" s="30" t="s">
        <v>121</v>
      </c>
      <c r="B377" s="184">
        <f>B378</f>
        <v>40811</v>
      </c>
      <c r="C377" s="13" t="s">
        <v>122</v>
      </c>
      <c r="D377" s="46" t="s">
        <v>191</v>
      </c>
      <c r="E377" s="30">
        <v>20</v>
      </c>
      <c r="F377" s="31">
        <v>2</v>
      </c>
      <c r="G377" s="13"/>
      <c r="H377" s="13">
        <f>E377*F377</f>
        <v>40</v>
      </c>
      <c r="I377" s="13"/>
      <c r="J377" s="13"/>
      <c r="K377" s="121">
        <f t="shared" ref="K377" si="43">SUM(G377:J377)</f>
        <v>40</v>
      </c>
      <c r="L377" s="119"/>
      <c r="N377" s="119"/>
    </row>
    <row r="378" spans="1:14">
      <c r="A378" s="30" t="s">
        <v>121</v>
      </c>
      <c r="B378" s="184">
        <f>B376+1</f>
        <v>40811</v>
      </c>
      <c r="C378" s="13" t="s">
        <v>122</v>
      </c>
      <c r="D378" s="46" t="s">
        <v>154</v>
      </c>
      <c r="E378" s="30">
        <v>40</v>
      </c>
      <c r="F378" s="31">
        <v>2</v>
      </c>
      <c r="G378" s="13">
        <f>F378*E378</f>
        <v>80</v>
      </c>
      <c r="H378" s="13"/>
      <c r="I378" s="13"/>
      <c r="J378" s="13"/>
      <c r="K378" s="121">
        <f t="shared" si="30"/>
        <v>80</v>
      </c>
      <c r="L378" s="119"/>
      <c r="N378" s="119"/>
    </row>
    <row r="379" spans="1:14">
      <c r="A379" s="30" t="s">
        <v>121</v>
      </c>
      <c r="B379" s="184">
        <f>B378</f>
        <v>40811</v>
      </c>
      <c r="C379" s="13" t="s">
        <v>135</v>
      </c>
      <c r="D379" s="46" t="s">
        <v>193</v>
      </c>
      <c r="E379" s="30">
        <v>15</v>
      </c>
      <c r="F379" s="31">
        <v>6</v>
      </c>
      <c r="G379" s="13">
        <f>F379*E379</f>
        <v>90</v>
      </c>
      <c r="H379" s="13"/>
      <c r="I379" s="13"/>
      <c r="J379" s="13"/>
      <c r="K379" s="121">
        <f t="shared" si="30"/>
        <v>90</v>
      </c>
      <c r="L379" s="119"/>
      <c r="N379" s="119"/>
    </row>
    <row r="380" spans="1:14">
      <c r="A380" s="30" t="s">
        <v>121</v>
      </c>
      <c r="B380" s="184">
        <f>B378</f>
        <v>40811</v>
      </c>
      <c r="C380" s="13" t="s">
        <v>118</v>
      </c>
      <c r="D380" s="46" t="s">
        <v>194</v>
      </c>
      <c r="E380" s="30">
        <v>25</v>
      </c>
      <c r="F380" s="31">
        <v>5</v>
      </c>
      <c r="G380" s="13">
        <f>F380*E380</f>
        <v>125</v>
      </c>
      <c r="H380" s="13"/>
      <c r="I380" s="13"/>
      <c r="J380" s="13"/>
      <c r="K380" s="121">
        <f t="shared" si="30"/>
        <v>125</v>
      </c>
      <c r="L380" s="119"/>
    </row>
    <row r="381" spans="1:14">
      <c r="A381" s="30" t="s">
        <v>123</v>
      </c>
      <c r="B381" s="184">
        <f>B378+1</f>
        <v>40812</v>
      </c>
      <c r="C381" s="13"/>
      <c r="D381" s="46"/>
      <c r="E381" s="30"/>
      <c r="F381" s="31"/>
      <c r="G381" s="13"/>
      <c r="H381" s="13"/>
      <c r="I381" s="13"/>
      <c r="J381" s="13"/>
      <c r="K381" s="121">
        <f t="shared" si="30"/>
        <v>0</v>
      </c>
      <c r="L381" s="119"/>
    </row>
    <row r="382" spans="1:14">
      <c r="A382" s="30" t="s">
        <v>124</v>
      </c>
      <c r="B382" s="184">
        <f t="shared" ref="B382:B430" si="44">B381+1</f>
        <v>40813</v>
      </c>
      <c r="C382" s="13"/>
      <c r="D382" s="46"/>
      <c r="E382" s="30"/>
      <c r="F382" s="31"/>
      <c r="G382" s="13"/>
      <c r="H382" s="13"/>
      <c r="I382" s="13"/>
      <c r="J382" s="13"/>
      <c r="K382" s="121">
        <f t="shared" si="30"/>
        <v>0</v>
      </c>
      <c r="L382" s="119"/>
    </row>
    <row r="383" spans="1:14">
      <c r="A383" s="30" t="s">
        <v>127</v>
      </c>
      <c r="B383" s="184">
        <f t="shared" si="44"/>
        <v>40814</v>
      </c>
      <c r="C383" s="13"/>
      <c r="D383" s="46"/>
      <c r="E383" s="30"/>
      <c r="F383" s="31"/>
      <c r="G383" s="13"/>
      <c r="H383" s="13"/>
      <c r="I383" s="13"/>
      <c r="J383" s="13"/>
      <c r="K383" s="121">
        <f t="shared" si="30"/>
        <v>0</v>
      </c>
      <c r="L383" s="119"/>
    </row>
    <row r="384" spans="1:14">
      <c r="A384" s="30" t="s">
        <v>128</v>
      </c>
      <c r="B384" s="184">
        <f t="shared" si="44"/>
        <v>40815</v>
      </c>
      <c r="C384" s="13" t="s">
        <v>135</v>
      </c>
      <c r="D384" s="46" t="s">
        <v>136</v>
      </c>
      <c r="E384" s="30">
        <v>25</v>
      </c>
      <c r="F384" s="31">
        <v>3</v>
      </c>
      <c r="G384" s="13">
        <f>F384*E384</f>
        <v>75</v>
      </c>
      <c r="H384" s="13"/>
      <c r="I384" s="13"/>
      <c r="J384" s="13"/>
      <c r="K384" s="121">
        <f t="shared" ref="K384" si="45">SUM(G384:J384)</f>
        <v>75</v>
      </c>
      <c r="L384" s="119"/>
    </row>
    <row r="385" spans="1:12">
      <c r="A385" s="30" t="s">
        <v>129</v>
      </c>
      <c r="B385" s="184">
        <f t="shared" si="44"/>
        <v>40816</v>
      </c>
      <c r="C385" s="13"/>
      <c r="D385" s="46"/>
      <c r="E385" s="30"/>
      <c r="F385" s="31"/>
      <c r="G385" s="13"/>
      <c r="H385" s="13"/>
      <c r="I385" s="13"/>
      <c r="J385" s="13"/>
      <c r="K385" s="121">
        <f t="shared" si="30"/>
        <v>0</v>
      </c>
      <c r="L385" s="119"/>
    </row>
    <row r="386" spans="1:12">
      <c r="A386" s="30" t="s">
        <v>120</v>
      </c>
      <c r="B386" s="184">
        <f t="shared" si="44"/>
        <v>40817</v>
      </c>
      <c r="C386" s="13" t="s">
        <v>125</v>
      </c>
      <c r="D386" s="46" t="s">
        <v>195</v>
      </c>
      <c r="E386" s="30">
        <v>30</v>
      </c>
      <c r="F386" s="31">
        <v>5</v>
      </c>
      <c r="G386" s="13">
        <f>E386*F386</f>
        <v>150</v>
      </c>
      <c r="H386" s="13"/>
      <c r="I386" s="13"/>
      <c r="J386" s="13"/>
      <c r="K386" s="121">
        <f t="shared" si="30"/>
        <v>150</v>
      </c>
      <c r="L386" s="119"/>
    </row>
    <row r="387" spans="1:12">
      <c r="A387" s="30" t="s">
        <v>121</v>
      </c>
      <c r="B387" s="184">
        <v>40819</v>
      </c>
      <c r="C387" s="13" t="s">
        <v>118</v>
      </c>
      <c r="D387" s="46" t="s">
        <v>194</v>
      </c>
      <c r="E387" s="30">
        <v>25</v>
      </c>
      <c r="F387" s="31">
        <v>5</v>
      </c>
      <c r="G387" s="13">
        <f>F387*E387</f>
        <v>125</v>
      </c>
      <c r="H387" s="13"/>
      <c r="I387" s="13"/>
      <c r="J387" s="13"/>
      <c r="K387" s="121">
        <f t="shared" si="30"/>
        <v>125</v>
      </c>
      <c r="L387" s="119"/>
    </row>
    <row r="388" spans="1:12">
      <c r="A388" s="30" t="s">
        <v>121</v>
      </c>
      <c r="B388" s="184">
        <f>B386+1</f>
        <v>40818</v>
      </c>
      <c r="C388" s="13" t="s">
        <v>122</v>
      </c>
      <c r="D388" s="46" t="s">
        <v>154</v>
      </c>
      <c r="E388" s="30">
        <v>40</v>
      </c>
      <c r="F388" s="31">
        <v>2</v>
      </c>
      <c r="G388" s="13">
        <f>F388*E388</f>
        <v>80</v>
      </c>
      <c r="H388" s="13"/>
      <c r="I388" s="13"/>
      <c r="J388" s="13"/>
      <c r="K388" s="121">
        <f t="shared" si="30"/>
        <v>80</v>
      </c>
      <c r="L388" s="119"/>
    </row>
    <row r="389" spans="1:12">
      <c r="A389" s="30" t="s">
        <v>123</v>
      </c>
      <c r="B389" s="184">
        <f t="shared" si="44"/>
        <v>40819</v>
      </c>
      <c r="C389" s="13"/>
      <c r="D389" s="46"/>
      <c r="E389" s="30"/>
      <c r="F389" s="31"/>
      <c r="G389" s="13"/>
      <c r="H389" s="13"/>
      <c r="I389" s="13"/>
      <c r="J389" s="13"/>
      <c r="K389" s="121">
        <f t="shared" ref="K389:K431" si="46">SUM(G389:J389)</f>
        <v>0</v>
      </c>
      <c r="L389" s="119"/>
    </row>
    <row r="390" spans="1:12">
      <c r="A390" s="30" t="s">
        <v>124</v>
      </c>
      <c r="B390" s="184">
        <f t="shared" si="44"/>
        <v>40820</v>
      </c>
      <c r="C390" s="13"/>
      <c r="D390" s="46"/>
      <c r="E390" s="30"/>
      <c r="F390" s="31"/>
      <c r="G390" s="13"/>
      <c r="H390" s="13"/>
      <c r="I390" s="13"/>
      <c r="J390" s="13"/>
      <c r="K390" s="121">
        <f t="shared" si="46"/>
        <v>0</v>
      </c>
      <c r="L390" s="119"/>
    </row>
    <row r="391" spans="1:12">
      <c r="A391" s="30" t="s">
        <v>127</v>
      </c>
      <c r="B391" s="184">
        <f t="shared" si="44"/>
        <v>40821</v>
      </c>
      <c r="C391" s="13"/>
      <c r="D391" s="46"/>
      <c r="E391" s="30"/>
      <c r="F391" s="31"/>
      <c r="G391" s="13"/>
      <c r="H391" s="13"/>
      <c r="I391" s="13"/>
      <c r="J391" s="13"/>
      <c r="K391" s="121">
        <f t="shared" si="46"/>
        <v>0</v>
      </c>
      <c r="L391" s="119"/>
    </row>
    <row r="392" spans="1:12">
      <c r="A392" s="30" t="s">
        <v>128</v>
      </c>
      <c r="B392" s="184">
        <f t="shared" si="44"/>
        <v>40822</v>
      </c>
      <c r="C392" s="13"/>
      <c r="D392" s="46"/>
      <c r="E392" s="30"/>
      <c r="F392" s="31"/>
      <c r="G392" s="13"/>
      <c r="H392" s="13"/>
      <c r="I392" s="13"/>
      <c r="J392" s="13"/>
      <c r="K392" s="121">
        <f t="shared" si="46"/>
        <v>0</v>
      </c>
      <c r="L392" s="119"/>
    </row>
    <row r="393" spans="1:12">
      <c r="A393" s="30" t="s">
        <v>129</v>
      </c>
      <c r="B393" s="184">
        <f t="shared" si="44"/>
        <v>40823</v>
      </c>
      <c r="C393" s="13"/>
      <c r="D393" s="46"/>
      <c r="E393" s="30"/>
      <c r="F393" s="31"/>
      <c r="G393" s="13"/>
      <c r="H393" s="13"/>
      <c r="I393" s="13"/>
      <c r="J393" s="13"/>
      <c r="K393" s="121">
        <f t="shared" si="46"/>
        <v>0</v>
      </c>
      <c r="L393" s="119"/>
    </row>
    <row r="394" spans="1:12">
      <c r="A394" s="30" t="s">
        <v>120</v>
      </c>
      <c r="B394" s="184">
        <f t="shared" si="44"/>
        <v>40824</v>
      </c>
      <c r="C394" s="13" t="s">
        <v>125</v>
      </c>
      <c r="D394" s="46" t="s">
        <v>195</v>
      </c>
      <c r="E394" s="30">
        <v>30</v>
      </c>
      <c r="F394" s="31">
        <v>5</v>
      </c>
      <c r="G394" s="13">
        <f>E394*F394</f>
        <v>150</v>
      </c>
      <c r="H394" s="13"/>
      <c r="I394" s="13"/>
      <c r="J394" s="13"/>
      <c r="K394" s="121">
        <f t="shared" si="46"/>
        <v>150</v>
      </c>
      <c r="L394" s="119"/>
    </row>
    <row r="395" spans="1:12">
      <c r="A395" s="30" t="s">
        <v>121</v>
      </c>
      <c r="B395" s="184">
        <v>40826</v>
      </c>
      <c r="C395" s="13" t="s">
        <v>118</v>
      </c>
      <c r="D395" s="46" t="s">
        <v>194</v>
      </c>
      <c r="E395" s="30">
        <v>25</v>
      </c>
      <c r="F395" s="31">
        <v>5</v>
      </c>
      <c r="G395" s="13">
        <f>F395*E395</f>
        <v>125</v>
      </c>
      <c r="H395" s="13"/>
      <c r="I395" s="13"/>
      <c r="J395" s="13"/>
      <c r="K395" s="121">
        <f t="shared" si="46"/>
        <v>125</v>
      </c>
      <c r="L395" s="119"/>
    </row>
    <row r="396" spans="1:12">
      <c r="A396" s="30" t="s">
        <v>121</v>
      </c>
      <c r="B396" s="184">
        <f>B394+1</f>
        <v>40825</v>
      </c>
      <c r="C396" s="13" t="s">
        <v>122</v>
      </c>
      <c r="D396" s="46" t="s">
        <v>196</v>
      </c>
      <c r="E396" s="30">
        <v>30</v>
      </c>
      <c r="F396" s="31">
        <v>2</v>
      </c>
      <c r="G396" s="13">
        <f>F396*E396</f>
        <v>60</v>
      </c>
      <c r="H396" s="13"/>
      <c r="I396" s="13"/>
      <c r="J396" s="13"/>
      <c r="K396" s="121">
        <f t="shared" si="46"/>
        <v>60</v>
      </c>
      <c r="L396" s="119"/>
    </row>
    <row r="397" spans="1:12">
      <c r="A397" s="30" t="s">
        <v>123</v>
      </c>
      <c r="B397" s="184">
        <f t="shared" si="44"/>
        <v>40826</v>
      </c>
      <c r="C397" s="13"/>
      <c r="D397" s="46"/>
      <c r="E397" s="30"/>
      <c r="F397" s="31"/>
      <c r="G397" s="13"/>
      <c r="H397" s="13"/>
      <c r="I397" s="13"/>
      <c r="J397" s="13"/>
      <c r="K397" s="121">
        <f t="shared" si="46"/>
        <v>0</v>
      </c>
      <c r="L397" s="119"/>
    </row>
    <row r="398" spans="1:12">
      <c r="A398" s="30" t="s">
        <v>124</v>
      </c>
      <c r="B398" s="184">
        <f t="shared" si="44"/>
        <v>40827</v>
      </c>
      <c r="C398" s="13"/>
      <c r="D398" s="46"/>
      <c r="E398" s="30"/>
      <c r="F398" s="31"/>
      <c r="G398" s="13"/>
      <c r="H398" s="13"/>
      <c r="I398" s="13"/>
      <c r="J398" s="13"/>
      <c r="K398" s="121">
        <f t="shared" si="46"/>
        <v>0</v>
      </c>
      <c r="L398" s="119"/>
    </row>
    <row r="399" spans="1:12">
      <c r="A399" s="30" t="s">
        <v>127</v>
      </c>
      <c r="B399" s="184">
        <f t="shared" si="44"/>
        <v>40828</v>
      </c>
      <c r="C399" s="13"/>
      <c r="D399" s="46"/>
      <c r="E399" s="30"/>
      <c r="F399" s="31"/>
      <c r="G399" s="13"/>
      <c r="H399" s="13"/>
      <c r="I399" s="13"/>
      <c r="J399" s="13"/>
      <c r="K399" s="121">
        <f t="shared" si="46"/>
        <v>0</v>
      </c>
      <c r="L399" s="119"/>
    </row>
    <row r="400" spans="1:12">
      <c r="A400" s="30" t="s">
        <v>128</v>
      </c>
      <c r="B400" s="184">
        <f t="shared" si="44"/>
        <v>40829</v>
      </c>
      <c r="C400" s="13"/>
      <c r="D400" s="46"/>
      <c r="E400" s="30"/>
      <c r="F400" s="31"/>
      <c r="G400" s="13"/>
      <c r="H400" s="13"/>
      <c r="I400" s="13"/>
      <c r="J400" s="13"/>
      <c r="K400" s="121">
        <f t="shared" si="46"/>
        <v>0</v>
      </c>
      <c r="L400" s="119"/>
    </row>
    <row r="401" spans="1:12">
      <c r="A401" s="30" t="s">
        <v>129</v>
      </c>
      <c r="B401" s="184">
        <f t="shared" si="44"/>
        <v>40830</v>
      </c>
      <c r="C401" s="13"/>
      <c r="D401" s="46"/>
      <c r="E401" s="30"/>
      <c r="F401" s="31"/>
      <c r="G401" s="13"/>
      <c r="H401" s="13"/>
      <c r="I401" s="13"/>
      <c r="J401" s="13"/>
      <c r="K401" s="121">
        <f t="shared" si="46"/>
        <v>0</v>
      </c>
      <c r="L401" s="119"/>
    </row>
    <row r="402" spans="1:12">
      <c r="A402" s="30" t="s">
        <v>120</v>
      </c>
      <c r="B402" s="184">
        <f t="shared" si="44"/>
        <v>40831</v>
      </c>
      <c r="C402" s="13" t="s">
        <v>125</v>
      </c>
      <c r="D402" s="46" t="s">
        <v>195</v>
      </c>
      <c r="E402" s="30">
        <v>30</v>
      </c>
      <c r="F402" s="31">
        <v>5</v>
      </c>
      <c r="G402" s="13">
        <f>E402*F402</f>
        <v>150</v>
      </c>
      <c r="H402" s="13"/>
      <c r="I402" s="13"/>
      <c r="J402" s="13"/>
      <c r="K402" s="121">
        <f t="shared" si="46"/>
        <v>150</v>
      </c>
      <c r="L402" s="119"/>
    </row>
    <row r="403" spans="1:12">
      <c r="A403" s="30" t="s">
        <v>121</v>
      </c>
      <c r="B403" s="184">
        <v>40833</v>
      </c>
      <c r="C403" s="13" t="s">
        <v>118</v>
      </c>
      <c r="D403" s="46" t="s">
        <v>194</v>
      </c>
      <c r="E403" s="30">
        <v>25</v>
      </c>
      <c r="F403" s="31">
        <v>5</v>
      </c>
      <c r="G403" s="13">
        <f>F403*E403</f>
        <v>125</v>
      </c>
      <c r="H403" s="13"/>
      <c r="I403" s="13"/>
      <c r="J403" s="13"/>
      <c r="K403" s="121">
        <f t="shared" si="46"/>
        <v>125</v>
      </c>
      <c r="L403" s="119"/>
    </row>
    <row r="404" spans="1:12">
      <c r="A404" s="30" t="s">
        <v>121</v>
      </c>
      <c r="B404" s="184">
        <f>B402+1</f>
        <v>40832</v>
      </c>
      <c r="C404" s="13" t="s">
        <v>122</v>
      </c>
      <c r="D404" s="46" t="s">
        <v>154</v>
      </c>
      <c r="E404" s="30">
        <v>30</v>
      </c>
      <c r="F404" s="31">
        <v>2</v>
      </c>
      <c r="G404" s="13">
        <f>F404*E404</f>
        <v>60</v>
      </c>
      <c r="H404" s="13"/>
      <c r="I404" s="13"/>
      <c r="J404" s="13"/>
      <c r="K404" s="121">
        <f t="shared" si="46"/>
        <v>60</v>
      </c>
      <c r="L404" s="119"/>
    </row>
    <row r="405" spans="1:12">
      <c r="A405" s="30" t="s">
        <v>121</v>
      </c>
      <c r="B405" s="184">
        <f>B404</f>
        <v>40832</v>
      </c>
      <c r="C405" s="13" t="s">
        <v>197</v>
      </c>
      <c r="D405" s="46" t="s">
        <v>198</v>
      </c>
      <c r="E405" s="30">
        <v>15</v>
      </c>
      <c r="F405" s="31">
        <v>6</v>
      </c>
      <c r="G405" s="13">
        <f>F405*E405</f>
        <v>90</v>
      </c>
      <c r="H405" s="13"/>
      <c r="I405" s="13"/>
      <c r="J405" s="13"/>
      <c r="K405" s="121">
        <f t="shared" si="46"/>
        <v>90</v>
      </c>
      <c r="L405" s="119"/>
    </row>
    <row r="406" spans="1:12">
      <c r="A406" s="30" t="s">
        <v>124</v>
      </c>
      <c r="B406" s="184">
        <f>B405+2</f>
        <v>40834</v>
      </c>
      <c r="C406" s="13"/>
      <c r="D406" s="46"/>
      <c r="E406" s="30"/>
      <c r="F406" s="31"/>
      <c r="G406" s="13"/>
      <c r="H406" s="13"/>
      <c r="I406" s="13"/>
      <c r="J406" s="13"/>
      <c r="K406" s="121">
        <f t="shared" si="46"/>
        <v>0</v>
      </c>
      <c r="L406" s="119"/>
    </row>
    <row r="407" spans="1:12">
      <c r="A407" s="30" t="s">
        <v>127</v>
      </c>
      <c r="B407" s="184">
        <f t="shared" si="44"/>
        <v>40835</v>
      </c>
      <c r="C407" s="13"/>
      <c r="D407" s="46"/>
      <c r="E407" s="30"/>
      <c r="F407" s="31"/>
      <c r="G407" s="13"/>
      <c r="H407" s="13"/>
      <c r="I407" s="13"/>
      <c r="J407" s="13"/>
      <c r="K407" s="121">
        <f t="shared" si="46"/>
        <v>0</v>
      </c>
      <c r="L407" s="119"/>
    </row>
    <row r="408" spans="1:12">
      <c r="A408" s="30" t="s">
        <v>128</v>
      </c>
      <c r="B408" s="184">
        <f t="shared" si="44"/>
        <v>40836</v>
      </c>
      <c r="C408" s="13"/>
      <c r="D408" s="46"/>
      <c r="E408" s="30"/>
      <c r="F408" s="31"/>
      <c r="G408" s="13"/>
      <c r="H408" s="13"/>
      <c r="I408" s="13"/>
      <c r="J408" s="13"/>
      <c r="K408" s="121">
        <f t="shared" si="46"/>
        <v>0</v>
      </c>
      <c r="L408" s="119"/>
    </row>
    <row r="409" spans="1:12">
      <c r="A409" s="30" t="s">
        <v>129</v>
      </c>
      <c r="B409" s="184">
        <f t="shared" si="44"/>
        <v>40837</v>
      </c>
      <c r="C409" s="13"/>
      <c r="D409" s="46"/>
      <c r="E409" s="30"/>
      <c r="F409" s="31"/>
      <c r="G409" s="13"/>
      <c r="H409" s="13"/>
      <c r="I409" s="13"/>
      <c r="J409" s="13"/>
      <c r="K409" s="121">
        <f t="shared" si="46"/>
        <v>0</v>
      </c>
      <c r="L409" s="119"/>
    </row>
    <row r="410" spans="1:12">
      <c r="A410" s="30" t="s">
        <v>120</v>
      </c>
      <c r="B410" s="184">
        <f t="shared" si="44"/>
        <v>40838</v>
      </c>
      <c r="C410" s="13" t="s">
        <v>125</v>
      </c>
      <c r="D410" s="46" t="s">
        <v>195</v>
      </c>
      <c r="E410" s="30">
        <v>30</v>
      </c>
      <c r="F410" s="31">
        <v>5</v>
      </c>
      <c r="G410" s="13">
        <f>E410*F410</f>
        <v>150</v>
      </c>
      <c r="H410" s="13"/>
      <c r="I410" s="13"/>
      <c r="J410" s="13"/>
      <c r="K410" s="121">
        <f t="shared" si="46"/>
        <v>150</v>
      </c>
      <c r="L410" s="119"/>
    </row>
    <row r="411" spans="1:12">
      <c r="A411" s="30" t="s">
        <v>121</v>
      </c>
      <c r="B411" s="184">
        <f t="shared" si="44"/>
        <v>40839</v>
      </c>
      <c r="C411" s="13" t="s">
        <v>122</v>
      </c>
      <c r="D411" s="46" t="s">
        <v>154</v>
      </c>
      <c r="E411" s="30">
        <v>30</v>
      </c>
      <c r="F411" s="31">
        <v>2</v>
      </c>
      <c r="G411" s="13">
        <f>F411*E411</f>
        <v>60</v>
      </c>
      <c r="H411" s="13"/>
      <c r="I411" s="13"/>
      <c r="J411" s="13"/>
      <c r="K411" s="121">
        <f t="shared" si="46"/>
        <v>60</v>
      </c>
      <c r="L411" s="119"/>
    </row>
    <row r="412" spans="1:12">
      <c r="A412" s="30" t="s">
        <v>123</v>
      </c>
      <c r="B412" s="184">
        <f t="shared" si="44"/>
        <v>40840</v>
      </c>
      <c r="C412" s="13"/>
      <c r="D412" s="46"/>
      <c r="E412" s="30"/>
      <c r="F412" s="31"/>
      <c r="G412" s="13"/>
      <c r="H412" s="13"/>
      <c r="I412" s="13"/>
      <c r="J412" s="13"/>
      <c r="K412" s="121">
        <f t="shared" si="46"/>
        <v>0</v>
      </c>
      <c r="L412" s="119"/>
    </row>
    <row r="413" spans="1:12">
      <c r="A413" s="30" t="s">
        <v>124</v>
      </c>
      <c r="B413" s="184">
        <f t="shared" si="44"/>
        <v>40841</v>
      </c>
      <c r="C413" s="13"/>
      <c r="D413" s="46"/>
      <c r="E413" s="30"/>
      <c r="F413" s="31"/>
      <c r="G413" s="13"/>
      <c r="H413" s="13"/>
      <c r="I413" s="13"/>
      <c r="J413" s="13"/>
      <c r="K413" s="121">
        <f t="shared" si="46"/>
        <v>0</v>
      </c>
      <c r="L413" s="119"/>
    </row>
    <row r="414" spans="1:12">
      <c r="A414" s="30" t="s">
        <v>127</v>
      </c>
      <c r="B414" s="184">
        <f t="shared" si="44"/>
        <v>40842</v>
      </c>
      <c r="C414" s="13"/>
      <c r="D414" s="46"/>
      <c r="E414" s="30"/>
      <c r="F414" s="31"/>
      <c r="G414" s="13"/>
      <c r="H414" s="13"/>
      <c r="I414" s="13"/>
      <c r="J414" s="13"/>
      <c r="K414" s="121">
        <f t="shared" si="46"/>
        <v>0</v>
      </c>
      <c r="L414" s="119"/>
    </row>
    <row r="415" spans="1:12">
      <c r="A415" s="30" t="s">
        <v>128</v>
      </c>
      <c r="B415" s="184">
        <f t="shared" si="44"/>
        <v>40843</v>
      </c>
      <c r="C415" s="13"/>
      <c r="D415" s="46"/>
      <c r="E415" s="30"/>
      <c r="F415" s="31"/>
      <c r="G415" s="13"/>
      <c r="H415" s="13"/>
      <c r="I415" s="13"/>
      <c r="J415" s="13"/>
      <c r="K415" s="121">
        <f t="shared" si="46"/>
        <v>0</v>
      </c>
      <c r="L415" s="119"/>
    </row>
    <row r="416" spans="1:12">
      <c r="A416" s="30" t="s">
        <v>129</v>
      </c>
      <c r="B416" s="184">
        <f t="shared" si="44"/>
        <v>40844</v>
      </c>
      <c r="C416" s="13"/>
      <c r="D416" s="46"/>
      <c r="E416" s="30"/>
      <c r="F416" s="31"/>
      <c r="G416" s="13"/>
      <c r="H416" s="13"/>
      <c r="I416" s="13"/>
      <c r="J416" s="13"/>
      <c r="K416" s="121">
        <f t="shared" si="46"/>
        <v>0</v>
      </c>
      <c r="L416" s="119"/>
    </row>
    <row r="417" spans="1:12">
      <c r="A417" s="30" t="s">
        <v>120</v>
      </c>
      <c r="B417" s="184">
        <f t="shared" si="44"/>
        <v>40845</v>
      </c>
      <c r="C417" s="13" t="s">
        <v>125</v>
      </c>
      <c r="D417" s="46" t="s">
        <v>195</v>
      </c>
      <c r="E417" s="30">
        <v>30</v>
      </c>
      <c r="F417" s="31">
        <v>5</v>
      </c>
      <c r="G417" s="13">
        <f>E417*F417</f>
        <v>150</v>
      </c>
      <c r="H417" s="13"/>
      <c r="I417" s="13"/>
      <c r="J417" s="13"/>
      <c r="K417" s="121">
        <f t="shared" si="46"/>
        <v>150</v>
      </c>
      <c r="L417" s="119"/>
    </row>
    <row r="418" spans="1:12">
      <c r="A418" s="30" t="s">
        <v>121</v>
      </c>
      <c r="B418" s="184">
        <f t="shared" si="44"/>
        <v>40846</v>
      </c>
      <c r="C418" s="13" t="s">
        <v>122</v>
      </c>
      <c r="D418" s="46" t="s">
        <v>154</v>
      </c>
      <c r="E418" s="30">
        <v>30</v>
      </c>
      <c r="F418" s="31">
        <v>2</v>
      </c>
      <c r="G418" s="13">
        <f>F418*E418</f>
        <v>60</v>
      </c>
      <c r="H418" s="13"/>
      <c r="I418" s="13"/>
      <c r="J418" s="13"/>
      <c r="K418" s="121">
        <f t="shared" si="46"/>
        <v>60</v>
      </c>
      <c r="L418" s="119"/>
    </row>
    <row r="419" spans="1:12">
      <c r="A419" s="30" t="s">
        <v>123</v>
      </c>
      <c r="B419" s="184">
        <f t="shared" si="44"/>
        <v>40847</v>
      </c>
      <c r="C419" s="13"/>
      <c r="D419" s="46"/>
      <c r="E419" s="30"/>
      <c r="F419" s="31"/>
      <c r="G419" s="13"/>
      <c r="H419" s="13"/>
      <c r="I419" s="13"/>
      <c r="J419" s="13"/>
      <c r="K419" s="121">
        <f t="shared" si="46"/>
        <v>0</v>
      </c>
      <c r="L419" s="119"/>
    </row>
    <row r="420" spans="1:12">
      <c r="A420" s="30" t="s">
        <v>124</v>
      </c>
      <c r="B420" s="184">
        <f t="shared" si="44"/>
        <v>40848</v>
      </c>
      <c r="C420" s="13"/>
      <c r="D420" s="46"/>
      <c r="E420" s="30"/>
      <c r="F420" s="31"/>
      <c r="G420" s="13"/>
      <c r="H420" s="13"/>
      <c r="I420" s="13"/>
      <c r="J420" s="13"/>
      <c r="K420" s="121">
        <f t="shared" si="46"/>
        <v>0</v>
      </c>
      <c r="L420" s="119"/>
    </row>
    <row r="421" spans="1:12">
      <c r="A421" s="30" t="s">
        <v>127</v>
      </c>
      <c r="B421" s="184">
        <f t="shared" si="44"/>
        <v>40849</v>
      </c>
      <c r="C421" s="13"/>
      <c r="D421" s="46"/>
      <c r="E421" s="30"/>
      <c r="F421" s="31"/>
      <c r="G421" s="13"/>
      <c r="H421" s="13"/>
      <c r="I421" s="13"/>
      <c r="J421" s="13"/>
      <c r="K421" s="121">
        <f t="shared" si="46"/>
        <v>0</v>
      </c>
      <c r="L421" s="119"/>
    </row>
    <row r="422" spans="1:12">
      <c r="A422" s="30" t="s">
        <v>128</v>
      </c>
      <c r="B422" s="184">
        <f t="shared" si="44"/>
        <v>40850</v>
      </c>
      <c r="C422" s="13"/>
      <c r="D422" s="46"/>
      <c r="E422" s="30"/>
      <c r="F422" s="31"/>
      <c r="G422" s="13"/>
      <c r="H422" s="13"/>
      <c r="I422" s="13"/>
      <c r="J422" s="13"/>
      <c r="K422" s="121">
        <f t="shared" si="46"/>
        <v>0</v>
      </c>
      <c r="L422" s="119"/>
    </row>
    <row r="423" spans="1:12" ht="25.5">
      <c r="A423" s="30" t="s">
        <v>120</v>
      </c>
      <c r="B423" s="184">
        <f>B422+2</f>
        <v>40852</v>
      </c>
      <c r="C423" s="13" t="s">
        <v>132</v>
      </c>
      <c r="D423" s="46" t="s">
        <v>199</v>
      </c>
      <c r="E423" s="30">
        <v>15</v>
      </c>
      <c r="F423" s="31">
        <v>6</v>
      </c>
      <c r="G423" s="13">
        <f>E423*F423</f>
        <v>90</v>
      </c>
      <c r="H423" s="13"/>
      <c r="I423" s="13"/>
      <c r="J423" s="13"/>
      <c r="K423" s="121">
        <f>SUM(G423:J423)</f>
        <v>90</v>
      </c>
      <c r="L423" s="119"/>
    </row>
    <row r="424" spans="1:12">
      <c r="A424" s="30" t="s">
        <v>120</v>
      </c>
      <c r="B424" s="184">
        <f>B423</f>
        <v>40852</v>
      </c>
      <c r="C424" s="13" t="s">
        <v>125</v>
      </c>
      <c r="D424" s="46" t="s">
        <v>195</v>
      </c>
      <c r="E424" s="30">
        <v>30</v>
      </c>
      <c r="F424" s="31">
        <v>5</v>
      </c>
      <c r="G424" s="13">
        <f>E424*F424</f>
        <v>150</v>
      </c>
      <c r="H424" s="13"/>
      <c r="I424" s="13"/>
      <c r="J424" s="13"/>
      <c r="K424" s="121">
        <f t="shared" si="46"/>
        <v>150</v>
      </c>
      <c r="L424" s="119"/>
    </row>
    <row r="425" spans="1:12">
      <c r="A425" s="30" t="s">
        <v>121</v>
      </c>
      <c r="B425" s="184">
        <f t="shared" si="44"/>
        <v>40853</v>
      </c>
      <c r="C425" s="13" t="s">
        <v>122</v>
      </c>
      <c r="D425" s="46" t="s">
        <v>154</v>
      </c>
      <c r="E425" s="30">
        <v>30</v>
      </c>
      <c r="F425" s="31">
        <v>2</v>
      </c>
      <c r="G425" s="13">
        <f>E425*F425</f>
        <v>60</v>
      </c>
      <c r="H425" s="13"/>
      <c r="I425" s="13"/>
      <c r="J425" s="13"/>
      <c r="K425" s="121">
        <f t="shared" si="46"/>
        <v>60</v>
      </c>
      <c r="L425" s="119"/>
    </row>
    <row r="426" spans="1:12">
      <c r="A426" s="30" t="s">
        <v>123</v>
      </c>
      <c r="B426" s="184">
        <f t="shared" si="44"/>
        <v>40854</v>
      </c>
      <c r="C426" s="13"/>
      <c r="D426" s="46"/>
      <c r="E426" s="30"/>
      <c r="F426" s="31"/>
      <c r="G426" s="13"/>
      <c r="H426" s="13"/>
      <c r="I426" s="13"/>
      <c r="J426" s="13"/>
      <c r="K426" s="121">
        <f t="shared" si="46"/>
        <v>0</v>
      </c>
      <c r="L426" s="119"/>
    </row>
    <row r="427" spans="1:12">
      <c r="A427" s="30" t="s">
        <v>124</v>
      </c>
      <c r="B427" s="184">
        <f t="shared" si="44"/>
        <v>40855</v>
      </c>
      <c r="C427" s="13"/>
      <c r="D427" s="46"/>
      <c r="E427" s="30"/>
      <c r="F427" s="31"/>
      <c r="G427" s="13"/>
      <c r="H427" s="13"/>
      <c r="I427" s="13"/>
      <c r="J427" s="13"/>
      <c r="K427" s="121">
        <f t="shared" si="46"/>
        <v>0</v>
      </c>
      <c r="L427" s="119"/>
    </row>
    <row r="428" spans="1:12">
      <c r="A428" s="30" t="s">
        <v>127</v>
      </c>
      <c r="B428" s="184">
        <f t="shared" si="44"/>
        <v>40856</v>
      </c>
      <c r="C428" s="13"/>
      <c r="D428" s="46"/>
      <c r="E428" s="30"/>
      <c r="F428" s="31"/>
      <c r="G428" s="13"/>
      <c r="H428" s="13"/>
      <c r="I428" s="13"/>
      <c r="J428" s="13"/>
      <c r="K428" s="121">
        <f t="shared" si="46"/>
        <v>0</v>
      </c>
      <c r="L428" s="119"/>
    </row>
    <row r="429" spans="1:12">
      <c r="A429" s="30" t="s">
        <v>128</v>
      </c>
      <c r="B429" s="184">
        <f t="shared" si="44"/>
        <v>40857</v>
      </c>
      <c r="C429" s="13"/>
      <c r="D429" s="46"/>
      <c r="E429" s="30"/>
      <c r="F429" s="31"/>
      <c r="G429" s="13"/>
      <c r="H429" s="13"/>
      <c r="I429" s="13"/>
      <c r="J429" s="13"/>
      <c r="K429" s="121">
        <f t="shared" si="46"/>
        <v>0</v>
      </c>
      <c r="L429" s="119"/>
    </row>
    <row r="430" spans="1:12">
      <c r="A430" s="30" t="s">
        <v>129</v>
      </c>
      <c r="B430" s="184">
        <f t="shared" si="44"/>
        <v>40858</v>
      </c>
      <c r="C430" s="13"/>
      <c r="D430" s="46"/>
      <c r="E430" s="30"/>
      <c r="F430" s="31"/>
      <c r="G430" s="13"/>
      <c r="H430" s="13"/>
      <c r="I430" s="13"/>
      <c r="J430" s="13"/>
      <c r="K430" s="121">
        <f t="shared" si="46"/>
        <v>0</v>
      </c>
      <c r="L430" s="119"/>
    </row>
    <row r="431" spans="1:12">
      <c r="A431" s="33" t="s">
        <v>120</v>
      </c>
      <c r="B431" s="185"/>
      <c r="C431" s="15"/>
      <c r="D431" s="186"/>
      <c r="E431" s="33"/>
      <c r="F431" s="34"/>
      <c r="G431" s="15"/>
      <c r="H431" s="15"/>
      <c r="I431" s="15"/>
      <c r="J431" s="15"/>
      <c r="K431" s="187">
        <f t="shared" si="46"/>
        <v>0</v>
      </c>
      <c r="L431" s="119"/>
    </row>
    <row r="432" spans="1:12">
      <c r="A432" s="11" t="s">
        <v>108</v>
      </c>
      <c r="L432" s="119"/>
    </row>
    <row r="433" spans="1:3">
      <c r="A433" s="11" t="s">
        <v>109</v>
      </c>
      <c r="B433" s="124"/>
      <c r="C433" s="1"/>
    </row>
    <row r="434" spans="1:3">
      <c r="C434" s="1"/>
    </row>
  </sheetData>
  <sheetProtection password="8725" sheet="1" objects="1" scenarios="1"/>
  <customSheetViews>
    <customSheetView guid="{501AA260-4F68-4F83-9D73-4CAC5C0FE660}" scale="90" topLeftCell="A61">
      <selection activeCell="A71" sqref="A71:F71"/>
      <pageMargins left="0.7" right="0.7" top="0.75" bottom="0.75" header="0.3" footer="0.3"/>
    </customSheetView>
    <customSheetView guid="{49FA9399-7025-4F3A-8583-7789089E8EA0}" scale="90" showPageBreaks="1" topLeftCell="A41">
      <selection activeCell="F63" sqref="F63"/>
      <pageMargins left="0.7" right="0.7" top="0.75" bottom="0.75" header="0.3" footer="0.3"/>
      <pageSetup paperSize="9" orientation="portrait" r:id="rId1"/>
    </customSheetView>
  </customSheetViews>
  <mergeCells count="48">
    <mergeCell ref="A59:D59"/>
    <mergeCell ref="A60:D60"/>
    <mergeCell ref="A61:D61"/>
    <mergeCell ref="A62:D62"/>
    <mergeCell ref="A31:E31"/>
    <mergeCell ref="A37:E37"/>
    <mergeCell ref="A38:E38"/>
    <mergeCell ref="A39:E39"/>
    <mergeCell ref="A43:D43"/>
    <mergeCell ref="A44:D44"/>
    <mergeCell ref="A49:D49"/>
    <mergeCell ref="A55:D55"/>
    <mergeCell ref="A56:D56"/>
    <mergeCell ref="A57:D57"/>
    <mergeCell ref="A58:D58"/>
    <mergeCell ref="A4:D4"/>
    <mergeCell ref="B5:D5"/>
    <mergeCell ref="A11:D11"/>
    <mergeCell ref="A12:D12"/>
    <mergeCell ref="A15:D15"/>
    <mergeCell ref="A17:D17"/>
    <mergeCell ref="A21:D21"/>
    <mergeCell ref="A28:D28"/>
    <mergeCell ref="A26:D26"/>
    <mergeCell ref="A27:D27"/>
    <mergeCell ref="A63:D63"/>
    <mergeCell ref="D72:E72"/>
    <mergeCell ref="D78:E78"/>
    <mergeCell ref="A71:E71"/>
    <mergeCell ref="A77:E77"/>
    <mergeCell ref="A84:C84"/>
    <mergeCell ref="A102:K102"/>
    <mergeCell ref="A67:E67"/>
    <mergeCell ref="A90:E90"/>
    <mergeCell ref="D91:E91"/>
    <mergeCell ref="A98:E98"/>
    <mergeCell ref="A99:E99"/>
    <mergeCell ref="A96:E96"/>
    <mergeCell ref="A87:E87"/>
    <mergeCell ref="A103:A104"/>
    <mergeCell ref="K103:K104"/>
    <mergeCell ref="F103:F104"/>
    <mergeCell ref="E103:E104"/>
    <mergeCell ref="B103:B104"/>
    <mergeCell ref="C103:C104"/>
    <mergeCell ref="D103:D104"/>
    <mergeCell ref="I103:J103"/>
    <mergeCell ref="G103:H103"/>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Totals &amp; Present Value</vt:lpstr>
      <vt:lpstr>Charter Boats</vt:lpstr>
      <vt:lpstr>rMCZ 19 Norris to Ryde</vt:lpstr>
      <vt:lpstr>rMCZ 22 Bembridge</vt:lpstr>
      <vt:lpstr>rMCZ 23 Yarmouth to Cowes</vt:lpstr>
      <vt:lpstr>rMCZ RA 3 Holehaven Creek</vt:lpstr>
      <vt:lpstr>rMCZ RA24 Harwich Haven</vt:lpstr>
      <vt:lpstr>rMCZ Studland Bay</vt:lpstr>
      <vt:lpstr>rMCZ RA The Fal</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M291374</cp:lastModifiedBy>
  <cp:lastPrinted>2011-11-22T16:21:20Z</cp:lastPrinted>
  <dcterms:created xsi:type="dcterms:W3CDTF">2011-09-08T06:47:21Z</dcterms:created>
  <dcterms:modified xsi:type="dcterms:W3CDTF">2012-07-17T12:13:46Z</dcterms:modified>
</cp:coreProperties>
</file>